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ts 2012" sheetId="1" r:id="rId1"/>
  </sheets>
  <definedNames>
    <definedName name="_Order1" hidden="1">255</definedName>
    <definedName name="_Order2" hidden="1">255</definedName>
    <definedName name="_xlnm.Print_Area" localSheetId="0">'Stats 2012'!$A$1:$P$52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N51" i="1"/>
  <c r="N50" i="1"/>
  <c r="N48" i="1"/>
  <c r="N47" i="1"/>
  <c r="N45" i="1"/>
  <c r="N44" i="1"/>
  <c r="N42" i="1"/>
  <c r="N41" i="1"/>
  <c r="B39" i="1"/>
  <c r="B52" i="1" s="1"/>
  <c r="N52" i="1" s="1"/>
  <c r="N38" i="1"/>
  <c r="L34" i="1"/>
  <c r="K34" i="1"/>
  <c r="H34" i="1"/>
  <c r="G34" i="1"/>
  <c r="D34" i="1"/>
  <c r="C34" i="1"/>
  <c r="N33" i="1"/>
  <c r="M32" i="1"/>
  <c r="M34" i="1" s="1"/>
  <c r="L32" i="1"/>
  <c r="K32" i="1"/>
  <c r="J32" i="1"/>
  <c r="J34" i="1" s="1"/>
  <c r="I32" i="1"/>
  <c r="I34" i="1" s="1"/>
  <c r="H32" i="1"/>
  <c r="G32" i="1"/>
  <c r="F32" i="1"/>
  <c r="F34" i="1" s="1"/>
  <c r="E32" i="1"/>
  <c r="E34" i="1" s="1"/>
  <c r="D32" i="1"/>
  <c r="C32" i="1"/>
  <c r="B32" i="1"/>
  <c r="B34" i="1" s="1"/>
  <c r="N34" i="1" s="1"/>
  <c r="N31" i="1"/>
  <c r="N30" i="1"/>
  <c r="N29" i="1"/>
  <c r="M26" i="1"/>
  <c r="I26" i="1"/>
  <c r="E26" i="1"/>
  <c r="M25" i="1"/>
  <c r="L25" i="1"/>
  <c r="L26" i="1" s="1"/>
  <c r="K25" i="1"/>
  <c r="K26" i="1" s="1"/>
  <c r="J25" i="1"/>
  <c r="J26" i="1" s="1"/>
  <c r="I25" i="1"/>
  <c r="H25" i="1"/>
  <c r="H26" i="1" s="1"/>
  <c r="G25" i="1"/>
  <c r="G26" i="1" s="1"/>
  <c r="F25" i="1"/>
  <c r="F26" i="1" s="1"/>
  <c r="E25" i="1"/>
  <c r="D25" i="1"/>
  <c r="D26" i="1" s="1"/>
  <c r="C25" i="1"/>
  <c r="C26" i="1" s="1"/>
  <c r="B25" i="1"/>
  <c r="B26" i="1" s="1"/>
  <c r="M22" i="1"/>
  <c r="H22" i="1"/>
  <c r="G22" i="1"/>
  <c r="D22" i="1"/>
  <c r="C22" i="1"/>
  <c r="L21" i="1"/>
  <c r="L22" i="1" s="1"/>
  <c r="K21" i="1"/>
  <c r="K22" i="1" s="1"/>
  <c r="J21" i="1"/>
  <c r="J22" i="1" s="1"/>
  <c r="I21" i="1"/>
  <c r="I22" i="1" s="1"/>
  <c r="G21" i="1"/>
  <c r="F21" i="1"/>
  <c r="F22" i="1" s="1"/>
  <c r="E21" i="1"/>
  <c r="E22" i="1" s="1"/>
  <c r="D21" i="1"/>
  <c r="C21" i="1"/>
  <c r="B21" i="1"/>
  <c r="B22" i="1" s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N17" i="1"/>
  <c r="N16" i="1"/>
  <c r="N15" i="1"/>
  <c r="P15" i="1" s="1"/>
  <c r="A15" i="1"/>
  <c r="N14" i="1"/>
  <c r="P14" i="1" s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N9" i="1"/>
  <c r="N8" i="1"/>
  <c r="N7" i="1"/>
  <c r="P10" i="1" l="1"/>
  <c r="O16" i="1"/>
  <c r="O7" i="1"/>
  <c r="N26" i="1"/>
  <c r="O8" i="1"/>
  <c r="O17" i="1"/>
  <c r="P17" i="1"/>
  <c r="P18" i="1" s="1"/>
  <c r="N22" i="1"/>
  <c r="N53" i="1"/>
  <c r="N25" i="1"/>
  <c r="N11" i="1"/>
  <c r="O10" i="1"/>
  <c r="O14" i="1"/>
  <c r="O15" i="1"/>
  <c r="N21" i="1"/>
  <c r="N39" i="1"/>
  <c r="N32" i="1"/>
  <c r="O18" i="1" l="1"/>
  <c r="Q8" i="1"/>
  <c r="Q7" i="1"/>
  <c r="Q11" i="1" s="1"/>
  <c r="Q10" i="1"/>
  <c r="Q9" i="1"/>
  <c r="P8" i="1"/>
  <c r="P7" i="1"/>
  <c r="P11" i="1" s="1"/>
  <c r="O9" i="1"/>
  <c r="O11" i="1" s="1"/>
</calcChain>
</file>

<file path=xl/comments1.xml><?xml version="1.0" encoding="utf-8"?>
<comments xmlns="http://schemas.openxmlformats.org/spreadsheetml/2006/main">
  <authors>
    <author>Don Tanner</author>
    <author>Erie Municipal Airport Authority</author>
  </authors>
  <commentList>
    <comment ref="A6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4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9" authorId="1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0" authorId="1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31" authorId="1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3" authorId="1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7" authorId="1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8" authorId="1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<sst xmlns="http://schemas.openxmlformats.org/spreadsheetml/2006/main" count="68" uniqueCount="59">
  <si>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</si>
  <si>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</si>
  <si>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</si>
  <si>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</si>
  <si>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</si>
  <si>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</si>
  <si>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</si>
  <si>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</si>
  <si>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</si>
  <si>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</si>
  <si>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</si>
  <si>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</si>
  <si>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</si>
  <si>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</si>
  <si>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</si>
  <si>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</si>
  <si>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</si>
  <si>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</si>
  <si>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</si>
  <si>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</si>
  <si>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</si>
  <si>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USAir (Piedmont/AirWis)</t>
  </si>
  <si>
    <t>Delta(Mesaba/Pinnacle)</t>
  </si>
  <si>
    <t>Charters(NoCoast/Alleg)</t>
  </si>
  <si>
    <t>CO (Commut)</t>
  </si>
  <si>
    <t>DEPLANEMENTS</t>
  </si>
  <si>
    <t>USAir/AirWis/Piedmont</t>
  </si>
  <si>
    <t>CO/Commut/Express</t>
  </si>
  <si>
    <t>CARGO ON (enplaned)</t>
  </si>
  <si>
    <t xml:space="preserve">Cargo  </t>
  </si>
  <si>
    <t>CARGO OFF (deplaned)</t>
  </si>
  <si>
    <t>OPERATIONS</t>
  </si>
  <si>
    <t>Carrier</t>
  </si>
  <si>
    <t>AC</t>
  </si>
  <si>
    <t>Comm/Taxi</t>
  </si>
  <si>
    <t>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</si>
  <si>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</si>
  <si>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</si>
  <si>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</si>
  <si>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</si>
  <si>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</si>
  <si>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</si>
  <si>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</si>
  <si>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</si>
  <si>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US Air</t>
  </si>
  <si>
    <t>CRJ-70/200, 100/200</t>
  </si>
  <si>
    <t>DH8-100,200,300</t>
  </si>
  <si>
    <t>Delta (Mesaba/Pinnacle)</t>
  </si>
  <si>
    <t>SFC / Saab B+</t>
  </si>
  <si>
    <t>CRJ</t>
  </si>
  <si>
    <t>Continental-Commut</t>
  </si>
  <si>
    <t>ERJ135/145</t>
  </si>
  <si>
    <t>DH8</t>
  </si>
  <si>
    <t>Charters</t>
  </si>
  <si>
    <t>N.Coast B737-200/700,AB320</t>
  </si>
  <si>
    <t>Allegiant MD-83 / MD-87</t>
  </si>
  <si>
    <t>Cargo</t>
  </si>
  <si>
    <t>Mountain Air C208</t>
  </si>
  <si>
    <t>CSA Air 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</si>
</sst>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166" fontId="8" fillId="3" borderId="0">
      <alignment horizontal="right"/>
    </xf>
    <xf numFmtId="0" fontId="9" fillId="4" borderId="0">
      <alignment horizontal="center"/>
    </xf>
    <xf numFmtId="0" fontId="10" fillId="5" borderId="0"/>
    <xf numFmtId="0" fontId="11" fillId="3" borderId="0" applyBorder="0">
      <alignment horizontal="centerContinuous"/>
    </xf>
    <xf numFmtId="0" fontId="12" fillId="5" borderId="0" applyBorder="0">
      <alignment horizontal="centerContinuous"/>
    </xf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1" fillId="0" borderId="0" xfId="0" applyFont="1"/>
    <xf numFmtId="0" fontId="5" fillId="2" borderId="0" xfId="0" applyFont="1" applyFill="1"/>
    <xf numFmtId="0" fontId="1" fillId="0" borderId="0" xfId="0" applyFont="1" applyFill="1"/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1">
    <cellStyle name="Comma0" xfId="2"/>
    <cellStyle name="Currency0" xfId="3"/>
    <cellStyle name="Date" xfId="4"/>
    <cellStyle name="Fixed" xfId="5"/>
    <cellStyle name="Normal" xfId="0" builtinId="0"/>
    <cellStyle name="OUTPUT AMOUNTS" xfId="6"/>
    <cellStyle name="OUTPUT COLUMN HEADINGS" xfId="7"/>
    <cellStyle name="OUTPUT LINE ITEMS" xfId="8"/>
    <cellStyle name="OUTPUT REPORT HEADING" xfId="9"/>
    <cellStyle name="OUTPUT REPORT TITLE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50" sqref="M50"/>
    </sheetView>
  </sheetViews>
  <sheetFormatPr defaultRowHeight="12.75" x14ac:dyDescent="0.2"/>
  <cols>
    <col min="1" max="1" width="20.42578125" customWidth="1"/>
    <col min="6" max="6" width="9.140625" style="3"/>
    <col min="14" max="14" width="10" bestFit="1" customWidth="1"/>
    <col min="15" max="15" width="7.28515625" hidden="1" customWidth="1"/>
    <col min="16" max="16" width="9" customWidth="1"/>
  </cols>
  <sheetData>
    <row r="1" spans="1:17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7" ht="12.75" customHeight="1" x14ac:dyDescent="0.25">
      <c r="A3" s="1">
        <v>2012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spans="1:17" ht="12" customHeight="1" x14ac:dyDescent="0.2">
      <c r="P4" s="2" t="s">
        <v>4</v>
      </c>
    </row>
    <row r="5" spans="1:17" s="4" customFormat="1" ht="12" customHeight="1" x14ac:dyDescent="0.2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17" ht="12" customHeight="1" x14ac:dyDescent="0.2">
      <c r="A6" s="7" t="s">
        <v>20</v>
      </c>
      <c r="I6" s="3"/>
    </row>
    <row r="7" spans="1:17" ht="12" customHeight="1" x14ac:dyDescent="0.2">
      <c r="A7" s="8" t="s">
        <v>21</v>
      </c>
      <c r="B7" s="9">
        <v>2989</v>
      </c>
      <c r="C7" s="10">
        <v>2936</v>
      </c>
      <c r="D7" s="9">
        <v>2943</v>
      </c>
      <c r="E7" s="9">
        <v>2482</v>
      </c>
      <c r="F7" s="10">
        <v>2806</v>
      </c>
      <c r="G7" s="9">
        <v>2537</v>
      </c>
      <c r="H7" s="9">
        <v>2487</v>
      </c>
      <c r="I7" s="10">
        <v>2638</v>
      </c>
      <c r="J7" s="10">
        <v>2601</v>
      </c>
      <c r="K7" s="9">
        <v>2567</v>
      </c>
      <c r="L7" s="10">
        <v>2519</v>
      </c>
      <c r="M7" s="9">
        <v>2466</v>
      </c>
      <c r="N7" s="9">
        <f>SUM(B7:M7)</f>
        <v>31971</v>
      </c>
      <c r="O7" s="11">
        <f>+N7/N$11</f>
        <v>0.29246672460321088</v>
      </c>
      <c r="P7" s="11">
        <f>+N7/(N$11-N$9)</f>
        <v>0.29315055932514211</v>
      </c>
      <c r="Q7" s="12">
        <f>+N7/N$11</f>
        <v>0.29246672460321088</v>
      </c>
    </row>
    <row r="8" spans="1:17" ht="12" customHeight="1" x14ac:dyDescent="0.2">
      <c r="A8" t="s">
        <v>22</v>
      </c>
      <c r="B8" s="9">
        <v>3276</v>
      </c>
      <c r="C8" s="10">
        <v>3176</v>
      </c>
      <c r="D8" s="9">
        <v>4169</v>
      </c>
      <c r="E8" s="9">
        <v>3961</v>
      </c>
      <c r="F8" s="10">
        <v>4176</v>
      </c>
      <c r="G8" s="9">
        <v>4401</v>
      </c>
      <c r="H8" s="9">
        <v>4447</v>
      </c>
      <c r="I8" s="10">
        <v>3838</v>
      </c>
      <c r="J8" s="10">
        <v>3190</v>
      </c>
      <c r="K8" s="9">
        <v>3204</v>
      </c>
      <c r="L8" s="10">
        <v>3497</v>
      </c>
      <c r="M8" s="10">
        <v>3131</v>
      </c>
      <c r="N8" s="9">
        <f>SUM(B8:M8)</f>
        <v>44466</v>
      </c>
      <c r="O8" s="11">
        <f>+N8/N$11</f>
        <v>0.40676942780039338</v>
      </c>
      <c r="P8" s="11">
        <f>+N8/(N$11-N$9)</f>
        <v>0.40772052081423071</v>
      </c>
      <c r="Q8" s="12">
        <f>+N8/N$11</f>
        <v>0.40676942780039338</v>
      </c>
    </row>
    <row r="9" spans="1:17" ht="12" customHeight="1" x14ac:dyDescent="0.2">
      <c r="A9" t="s">
        <v>23</v>
      </c>
      <c r="B9" s="9">
        <v>73</v>
      </c>
      <c r="C9" s="10"/>
      <c r="D9" s="9">
        <v>75</v>
      </c>
      <c r="E9" s="9"/>
      <c r="F9" s="10"/>
      <c r="G9" s="9"/>
      <c r="H9" s="9"/>
      <c r="I9" s="10"/>
      <c r="J9" s="13">
        <v>60</v>
      </c>
      <c r="K9" s="9"/>
      <c r="L9" s="10">
        <v>47</v>
      </c>
      <c r="M9" s="14"/>
      <c r="N9" s="9">
        <f>SUM(B9:M9)</f>
        <v>255</v>
      </c>
      <c r="O9" s="11">
        <f>+N9/N$11</f>
        <v>2.3327082285139276E-3</v>
      </c>
      <c r="P9" s="11"/>
      <c r="Q9" s="12">
        <f>+N9/N$11</f>
        <v>2.3327082285139276E-3</v>
      </c>
    </row>
    <row r="10" spans="1:17" ht="12" customHeight="1" x14ac:dyDescent="0.2">
      <c r="A10" t="s">
        <v>24</v>
      </c>
      <c r="B10" s="15">
        <v>1953</v>
      </c>
      <c r="C10" s="16">
        <v>2454</v>
      </c>
      <c r="D10" s="15">
        <v>2258</v>
      </c>
      <c r="E10" s="15">
        <v>2641</v>
      </c>
      <c r="F10" s="16">
        <v>2496</v>
      </c>
      <c r="G10" s="15">
        <v>2830</v>
      </c>
      <c r="H10" s="16">
        <v>3111</v>
      </c>
      <c r="I10" s="16">
        <v>3537</v>
      </c>
      <c r="J10" s="16">
        <v>3016</v>
      </c>
      <c r="K10" s="15">
        <v>3062</v>
      </c>
      <c r="L10" s="16">
        <v>2830</v>
      </c>
      <c r="M10" s="15">
        <v>2435</v>
      </c>
      <c r="N10" s="15">
        <f>SUM(B10:M10)</f>
        <v>32623</v>
      </c>
      <c r="O10" s="17">
        <f>+N10/N$11</f>
        <v>0.29843113936788179</v>
      </c>
      <c r="P10" s="11">
        <f>+N10/(N$11-N$9)</f>
        <v>0.29912891986062717</v>
      </c>
      <c r="Q10" s="12">
        <f>+N10/N$11</f>
        <v>0.29843113936788179</v>
      </c>
    </row>
    <row r="11" spans="1:17" ht="12" customHeight="1" x14ac:dyDescent="0.2">
      <c r="A11" t="s">
        <v>18</v>
      </c>
      <c r="B11" s="9">
        <f t="shared" ref="B11:P11" si="0">SUM(B7:B10)</f>
        <v>8291</v>
      </c>
      <c r="C11" s="10">
        <f t="shared" si="0"/>
        <v>8566</v>
      </c>
      <c r="D11" s="9">
        <f t="shared" si="0"/>
        <v>9445</v>
      </c>
      <c r="E11" s="9">
        <f t="shared" si="0"/>
        <v>9084</v>
      </c>
      <c r="F11" s="10">
        <f t="shared" si="0"/>
        <v>9478</v>
      </c>
      <c r="G11" s="9">
        <f t="shared" si="0"/>
        <v>9768</v>
      </c>
      <c r="H11" s="9">
        <f t="shared" si="0"/>
        <v>10045</v>
      </c>
      <c r="I11" s="10">
        <f t="shared" si="0"/>
        <v>10013</v>
      </c>
      <c r="J11" s="10">
        <f t="shared" si="0"/>
        <v>8867</v>
      </c>
      <c r="K11" s="9">
        <f t="shared" si="0"/>
        <v>8833</v>
      </c>
      <c r="L11" s="10">
        <f t="shared" si="0"/>
        <v>8893</v>
      </c>
      <c r="M11" s="9">
        <f t="shared" si="0"/>
        <v>8032</v>
      </c>
      <c r="N11" s="9">
        <f t="shared" si="0"/>
        <v>109315</v>
      </c>
      <c r="O11" s="18">
        <f t="shared" si="0"/>
        <v>1</v>
      </c>
      <c r="P11" s="19">
        <f t="shared" si="0"/>
        <v>1</v>
      </c>
      <c r="Q11" s="12">
        <f>SUM(Q7:Q10)</f>
        <v>1</v>
      </c>
    </row>
    <row r="12" spans="1:17" ht="12" customHeight="1" x14ac:dyDescent="0.2">
      <c r="A12" t="s">
        <v>5</v>
      </c>
      <c r="B12" s="9"/>
      <c r="C12" s="10"/>
      <c r="D12" s="9"/>
      <c r="E12" s="9"/>
      <c r="F12" s="10"/>
      <c r="G12" s="9"/>
      <c r="H12" s="9"/>
      <c r="I12" s="10"/>
      <c r="J12" s="10"/>
      <c r="K12" s="9"/>
      <c r="L12" s="10"/>
      <c r="M12" s="9"/>
      <c r="N12" s="9"/>
      <c r="O12" s="18"/>
      <c r="P12" s="18"/>
    </row>
    <row r="13" spans="1:17" ht="12" customHeight="1" x14ac:dyDescent="0.2">
      <c r="A13" s="7" t="s">
        <v>25</v>
      </c>
      <c r="B13" s="9"/>
      <c r="C13" s="10"/>
      <c r="D13" s="9"/>
      <c r="E13" s="9"/>
      <c r="F13" s="10"/>
      <c r="G13" s="9"/>
      <c r="H13" s="9"/>
      <c r="I13" s="10"/>
      <c r="J13" s="10"/>
      <c r="K13" s="9"/>
      <c r="L13" s="10"/>
      <c r="M13" s="9"/>
      <c r="N13" s="9"/>
      <c r="O13" s="18"/>
      <c r="P13" s="18"/>
    </row>
    <row r="14" spans="1:17" ht="12" customHeight="1" x14ac:dyDescent="0.2">
      <c r="A14" t="s">
        <v>26</v>
      </c>
      <c r="B14" s="9">
        <v>3060</v>
      </c>
      <c r="C14" s="10">
        <v>2846</v>
      </c>
      <c r="D14" s="9">
        <v>3315</v>
      </c>
      <c r="E14" s="9">
        <v>2722</v>
      </c>
      <c r="F14" s="10">
        <v>2948</v>
      </c>
      <c r="G14" s="9">
        <v>2753</v>
      </c>
      <c r="H14" s="9">
        <v>2658</v>
      </c>
      <c r="I14" s="10">
        <v>2775</v>
      </c>
      <c r="J14" s="10">
        <v>2676</v>
      </c>
      <c r="K14" s="9">
        <v>2672</v>
      </c>
      <c r="L14" s="10">
        <v>2600</v>
      </c>
      <c r="M14" s="9">
        <v>2475</v>
      </c>
      <c r="N14" s="9">
        <f>SUM(B14:M14)</f>
        <v>33500</v>
      </c>
      <c r="O14" s="11">
        <f>+N14/N$18</f>
        <v>0.31455103707946402</v>
      </c>
      <c r="P14" s="11">
        <f>+N14/(N$18-N$16)</f>
        <v>0.31530598799013609</v>
      </c>
    </row>
    <row r="15" spans="1:17" ht="12" customHeight="1" x14ac:dyDescent="0.2">
      <c r="A15" t="str">
        <f>+A8</f>
        <v>Delta(Mesaba/Pinnacle)</v>
      </c>
      <c r="B15" s="9">
        <v>2999</v>
      </c>
      <c r="C15" s="10">
        <v>2970</v>
      </c>
      <c r="D15" s="9">
        <v>4105</v>
      </c>
      <c r="E15" s="9">
        <v>3670</v>
      </c>
      <c r="F15" s="10">
        <v>4124</v>
      </c>
      <c r="G15" s="9">
        <v>4311</v>
      </c>
      <c r="H15" s="9">
        <v>4354</v>
      </c>
      <c r="I15" s="10">
        <v>3932</v>
      </c>
      <c r="J15" s="10">
        <v>2944</v>
      </c>
      <c r="K15" s="9">
        <v>2982</v>
      </c>
      <c r="L15" s="10">
        <v>3303</v>
      </c>
      <c r="M15" s="9">
        <v>2992</v>
      </c>
      <c r="N15" s="9">
        <f>SUM(B15:M15)</f>
        <v>42686</v>
      </c>
      <c r="O15" s="11">
        <f>+N15/N$18</f>
        <v>0.40080374832161203</v>
      </c>
      <c r="P15" s="11">
        <f>+N15/(N$18-N$16)</f>
        <v>0.40176571353274476</v>
      </c>
    </row>
    <row r="16" spans="1:17" ht="12" customHeight="1" x14ac:dyDescent="0.2">
      <c r="A16" t="s">
        <v>23</v>
      </c>
      <c r="B16" s="9">
        <v>73</v>
      </c>
      <c r="C16" s="9"/>
      <c r="D16" s="9">
        <v>75</v>
      </c>
      <c r="E16" s="9"/>
      <c r="F16" s="10"/>
      <c r="G16" s="9"/>
      <c r="H16" s="9"/>
      <c r="I16" s="10"/>
      <c r="J16" s="13">
        <v>60</v>
      </c>
      <c r="K16" s="9"/>
      <c r="L16" s="10">
        <v>47</v>
      </c>
      <c r="M16" s="14"/>
      <c r="N16" s="9">
        <f>SUM(B16:M16)</f>
        <v>255</v>
      </c>
      <c r="O16" s="11">
        <f>+N16/N$18</f>
        <v>2.3943437150824873E-3</v>
      </c>
      <c r="P16" s="11"/>
    </row>
    <row r="17" spans="1:16" ht="12" customHeight="1" x14ac:dyDescent="0.2">
      <c r="A17" t="s">
        <v>27</v>
      </c>
      <c r="B17" s="15">
        <v>1662</v>
      </c>
      <c r="C17" s="16">
        <v>2097</v>
      </c>
      <c r="D17" s="15">
        <v>2254</v>
      </c>
      <c r="E17" s="15">
        <v>2387</v>
      </c>
      <c r="F17" s="16">
        <v>2403</v>
      </c>
      <c r="G17" s="15">
        <v>2813</v>
      </c>
      <c r="H17" s="16">
        <v>2834</v>
      </c>
      <c r="I17" s="16">
        <v>3392</v>
      </c>
      <c r="J17" s="16">
        <v>2634</v>
      </c>
      <c r="K17" s="15">
        <v>2763</v>
      </c>
      <c r="L17" s="16">
        <v>2711</v>
      </c>
      <c r="M17" s="15">
        <v>2110</v>
      </c>
      <c r="N17" s="15">
        <f>SUM(B17:M17)</f>
        <v>30060</v>
      </c>
      <c r="O17" s="17">
        <f>+N17/N$18</f>
        <v>0.28225087088384149</v>
      </c>
      <c r="P17" s="11">
        <f>+N17/(N$18-N$16)</f>
        <v>0.28292829847711914</v>
      </c>
    </row>
    <row r="18" spans="1:16" ht="12" customHeight="1" x14ac:dyDescent="0.2">
      <c r="A18" t="s">
        <v>18</v>
      </c>
      <c r="B18" s="9">
        <f t="shared" ref="B18:M18" si="1">SUM(B14:B17)</f>
        <v>7794</v>
      </c>
      <c r="C18" s="10">
        <f t="shared" si="1"/>
        <v>7913</v>
      </c>
      <c r="D18" s="9">
        <f t="shared" si="1"/>
        <v>9749</v>
      </c>
      <c r="E18" s="9">
        <f t="shared" si="1"/>
        <v>8779</v>
      </c>
      <c r="F18" s="10">
        <f t="shared" si="1"/>
        <v>9475</v>
      </c>
      <c r="G18" s="9">
        <f t="shared" si="1"/>
        <v>9877</v>
      </c>
      <c r="H18" s="9">
        <f t="shared" si="1"/>
        <v>9846</v>
      </c>
      <c r="I18" s="10">
        <f t="shared" si="1"/>
        <v>10099</v>
      </c>
      <c r="J18" s="10">
        <f t="shared" si="1"/>
        <v>8314</v>
      </c>
      <c r="K18" s="9">
        <f t="shared" si="1"/>
        <v>8417</v>
      </c>
      <c r="L18" s="10">
        <f t="shared" si="1"/>
        <v>8661</v>
      </c>
      <c r="M18" s="9">
        <f t="shared" si="1"/>
        <v>7577</v>
      </c>
      <c r="N18" s="9">
        <f>SUM(B18:M18)</f>
        <v>106501</v>
      </c>
      <c r="O18" s="18">
        <f>SUM(O14:O17)</f>
        <v>1</v>
      </c>
      <c r="P18" s="18">
        <f>SUM(P14:P17)</f>
        <v>1</v>
      </c>
    </row>
    <row r="19" spans="1:16" ht="12" customHeight="1" x14ac:dyDescent="0.2">
      <c r="A19" t="s">
        <v>5</v>
      </c>
      <c r="B19" s="9"/>
      <c r="C19" s="10"/>
      <c r="D19" s="9"/>
      <c r="E19" s="9"/>
      <c r="F19" s="10"/>
      <c r="G19" s="9"/>
      <c r="H19" s="9"/>
      <c r="I19" s="10"/>
      <c r="J19" s="10"/>
      <c r="K19" s="9"/>
      <c r="L19" s="10"/>
      <c r="M19" s="9"/>
      <c r="N19" s="9"/>
    </row>
    <row r="20" spans="1:16" ht="12" customHeight="1" x14ac:dyDescent="0.2">
      <c r="A20" s="7" t="s">
        <v>28</v>
      </c>
      <c r="B20" s="9"/>
      <c r="C20" s="10"/>
      <c r="D20" s="9"/>
      <c r="E20" s="9"/>
      <c r="F20" s="10"/>
      <c r="G20" s="9"/>
      <c r="H20" s="9"/>
      <c r="I20" s="10"/>
      <c r="J20" s="10"/>
      <c r="K20" s="9"/>
      <c r="L20" s="10"/>
      <c r="M20" s="9"/>
      <c r="N20" s="9"/>
    </row>
    <row r="21" spans="1:16" ht="12" customHeight="1" x14ac:dyDescent="0.2">
      <c r="A21" t="s">
        <v>29</v>
      </c>
      <c r="B21" s="15">
        <f>460+31</f>
        <v>491</v>
      </c>
      <c r="C21" s="16">
        <f>603+77</f>
        <v>680</v>
      </c>
      <c r="D21" s="15">
        <f>725+183</f>
        <v>908</v>
      </c>
      <c r="E21" s="15">
        <f>483+249</f>
        <v>732</v>
      </c>
      <c r="F21" s="16">
        <f>296+445</f>
        <v>741</v>
      </c>
      <c r="G21" s="15">
        <f>330+111</f>
        <v>441</v>
      </c>
      <c r="H21" s="15">
        <v>218</v>
      </c>
      <c r="I21" s="16">
        <f>848+105</f>
        <v>953</v>
      </c>
      <c r="J21" s="16">
        <f>251+159</f>
        <v>410</v>
      </c>
      <c r="K21" s="15">
        <f>3+194</f>
        <v>197</v>
      </c>
      <c r="L21" s="16">
        <f>380+189</f>
        <v>569</v>
      </c>
      <c r="M21" s="20">
        <v>104</v>
      </c>
      <c r="N21" s="15">
        <f>SUM(B21:M21)</f>
        <v>6444</v>
      </c>
    </row>
    <row r="22" spans="1:16" ht="12" customHeight="1" x14ac:dyDescent="0.2">
      <c r="A22" t="s">
        <v>18</v>
      </c>
      <c r="B22" s="9">
        <f t="shared" ref="B22:M22" si="2">SUM(B21:B21)</f>
        <v>491</v>
      </c>
      <c r="C22" s="10">
        <f t="shared" si="2"/>
        <v>680</v>
      </c>
      <c r="D22" s="9">
        <f t="shared" si="2"/>
        <v>908</v>
      </c>
      <c r="E22" s="9">
        <f t="shared" si="2"/>
        <v>732</v>
      </c>
      <c r="F22" s="10">
        <f t="shared" si="2"/>
        <v>741</v>
      </c>
      <c r="G22" s="9">
        <f t="shared" si="2"/>
        <v>441</v>
      </c>
      <c r="H22" s="9">
        <f t="shared" si="2"/>
        <v>218</v>
      </c>
      <c r="I22" s="10">
        <f t="shared" si="2"/>
        <v>953</v>
      </c>
      <c r="J22" s="10">
        <f t="shared" si="2"/>
        <v>410</v>
      </c>
      <c r="K22" s="9">
        <f t="shared" si="2"/>
        <v>197</v>
      </c>
      <c r="L22" s="10">
        <f t="shared" si="2"/>
        <v>569</v>
      </c>
      <c r="M22" s="9">
        <f t="shared" si="2"/>
        <v>104</v>
      </c>
      <c r="N22" s="9">
        <f>SUM(B22:M22)</f>
        <v>6444</v>
      </c>
    </row>
    <row r="23" spans="1:16" ht="12" customHeight="1" x14ac:dyDescent="0.2">
      <c r="B23" s="9"/>
      <c r="C23" s="10"/>
      <c r="D23" s="9"/>
      <c r="E23" s="9"/>
      <c r="F23" s="10"/>
      <c r="G23" s="9"/>
      <c r="H23" s="9"/>
      <c r="I23" s="10"/>
      <c r="J23" s="10"/>
      <c r="K23" s="9"/>
      <c r="L23" s="10"/>
      <c r="M23" s="9"/>
      <c r="N23" s="9"/>
    </row>
    <row r="24" spans="1:16" ht="12" customHeight="1" x14ac:dyDescent="0.2">
      <c r="A24" s="7" t="s">
        <v>30</v>
      </c>
      <c r="B24" s="9"/>
      <c r="C24" s="10"/>
      <c r="D24" s="9"/>
      <c r="E24" s="9"/>
      <c r="F24" s="10"/>
      <c r="G24" s="9"/>
      <c r="H24" s="9"/>
      <c r="I24" s="10"/>
      <c r="J24" s="10"/>
      <c r="K24" s="9"/>
      <c r="L24" s="10"/>
      <c r="M24" s="9"/>
      <c r="N24" s="9"/>
    </row>
    <row r="25" spans="1:16" ht="12" customHeight="1" x14ac:dyDescent="0.2">
      <c r="A25" t="s">
        <v>29</v>
      </c>
      <c r="B25" s="16">
        <f>793+334+32821</f>
        <v>33948</v>
      </c>
      <c r="C25" s="16">
        <f>995+1245+29186</f>
        <v>31426</v>
      </c>
      <c r="D25" s="16">
        <f>911+778+35314</f>
        <v>37003</v>
      </c>
      <c r="E25" s="15">
        <f>793+154+25369</f>
        <v>26316</v>
      </c>
      <c r="F25" s="16">
        <f>26722+565+1203</f>
        <v>28490</v>
      </c>
      <c r="G25" s="15">
        <f>28519+1248+702</f>
        <v>30469</v>
      </c>
      <c r="H25" s="15">
        <f>33721+414+1114</f>
        <v>35249</v>
      </c>
      <c r="I25" s="16">
        <f>1247+589+21208</f>
        <v>23044</v>
      </c>
      <c r="J25" s="16">
        <f>987+559+23448</f>
        <v>24994</v>
      </c>
      <c r="K25" s="15">
        <f>947+553+21668</f>
        <v>23168</v>
      </c>
      <c r="L25" s="16">
        <f>1401+624+23093</f>
        <v>25118</v>
      </c>
      <c r="M25" s="16">
        <f>884+597+34291</f>
        <v>35772</v>
      </c>
      <c r="N25" s="15">
        <f>SUM(B25:M25)</f>
        <v>354997</v>
      </c>
    </row>
    <row r="26" spans="1:16" ht="12" customHeight="1" x14ac:dyDescent="0.2">
      <c r="A26" t="s">
        <v>18</v>
      </c>
      <c r="B26" s="9">
        <f t="shared" ref="B26:M26" si="3">SUM(B25:B25)</f>
        <v>33948</v>
      </c>
      <c r="C26" s="10">
        <f t="shared" si="3"/>
        <v>31426</v>
      </c>
      <c r="D26" s="9">
        <f t="shared" si="3"/>
        <v>37003</v>
      </c>
      <c r="E26" s="9">
        <f t="shared" si="3"/>
        <v>26316</v>
      </c>
      <c r="F26" s="10">
        <f t="shared" si="3"/>
        <v>28490</v>
      </c>
      <c r="G26" s="9">
        <f t="shared" si="3"/>
        <v>30469</v>
      </c>
      <c r="H26" s="9">
        <f t="shared" si="3"/>
        <v>35249</v>
      </c>
      <c r="I26" s="10">
        <f t="shared" si="3"/>
        <v>23044</v>
      </c>
      <c r="J26" s="10">
        <f t="shared" si="3"/>
        <v>24994</v>
      </c>
      <c r="K26" s="9">
        <f t="shared" si="3"/>
        <v>23168</v>
      </c>
      <c r="L26" s="10">
        <f t="shared" si="3"/>
        <v>25118</v>
      </c>
      <c r="M26" s="9">
        <f t="shared" si="3"/>
        <v>35772</v>
      </c>
      <c r="N26" s="9">
        <f>SUM(B26:M26)</f>
        <v>354997</v>
      </c>
    </row>
    <row r="27" spans="1:16" ht="12" customHeight="1" x14ac:dyDescent="0.2">
      <c r="B27" s="9"/>
      <c r="C27" s="10"/>
      <c r="D27" s="9"/>
      <c r="E27" s="9"/>
      <c r="F27" s="10"/>
      <c r="G27" s="9"/>
      <c r="H27" s="9"/>
      <c r="I27" s="10"/>
      <c r="J27" s="10"/>
      <c r="K27" s="9"/>
      <c r="L27" s="10"/>
      <c r="M27" s="9"/>
      <c r="N27" s="9"/>
    </row>
    <row r="28" spans="1:16" ht="12" customHeight="1" x14ac:dyDescent="0.2">
      <c r="A28" s="7" t="s">
        <v>31</v>
      </c>
      <c r="B28" s="9"/>
      <c r="C28" s="10"/>
      <c r="D28" s="9"/>
      <c r="E28" s="9"/>
      <c r="F28" s="10"/>
      <c r="G28" s="9"/>
      <c r="H28" s="9"/>
      <c r="I28" s="10"/>
      <c r="J28" s="10"/>
      <c r="K28" s="9"/>
      <c r="L28" s="10"/>
      <c r="M28" s="9"/>
      <c r="N28" s="9"/>
    </row>
    <row r="29" spans="1:16" ht="12" customHeight="1" x14ac:dyDescent="0.2">
      <c r="A29" t="s">
        <v>32</v>
      </c>
      <c r="B29" s="9">
        <v>4</v>
      </c>
      <c r="C29" s="10">
        <v>0</v>
      </c>
      <c r="D29" s="9">
        <v>4</v>
      </c>
      <c r="E29" s="10">
        <v>0</v>
      </c>
      <c r="F29" s="10">
        <v>0</v>
      </c>
      <c r="G29" s="9">
        <v>0</v>
      </c>
      <c r="H29" s="9">
        <v>0</v>
      </c>
      <c r="I29" s="10">
        <v>0</v>
      </c>
      <c r="J29" s="10">
        <v>4</v>
      </c>
      <c r="K29" s="9">
        <v>0</v>
      </c>
      <c r="L29" s="10">
        <v>4</v>
      </c>
      <c r="M29" s="9">
        <v>0</v>
      </c>
      <c r="N29" s="9">
        <f t="shared" ref="N29:N34" si="4">SUM(B29:M29)</f>
        <v>16</v>
      </c>
      <c r="P29" t="s">
        <v>33</v>
      </c>
    </row>
    <row r="30" spans="1:16" ht="12" customHeight="1" x14ac:dyDescent="0.2">
      <c r="A30" t="s">
        <v>34</v>
      </c>
      <c r="B30" s="9">
        <v>576</v>
      </c>
      <c r="C30" s="10">
        <v>610</v>
      </c>
      <c r="D30" s="9">
        <v>682</v>
      </c>
      <c r="E30" s="10">
        <v>661</v>
      </c>
      <c r="F30" s="10">
        <v>692</v>
      </c>
      <c r="G30" s="9">
        <v>664</v>
      </c>
      <c r="H30" s="9">
        <v>731</v>
      </c>
      <c r="I30" s="10">
        <v>711</v>
      </c>
      <c r="J30" s="10">
        <v>596</v>
      </c>
      <c r="K30" s="9">
        <v>655</v>
      </c>
      <c r="L30" s="10">
        <v>597</v>
      </c>
      <c r="M30" s="9">
        <v>600</v>
      </c>
      <c r="N30" s="9">
        <f t="shared" si="4"/>
        <v>7775</v>
      </c>
      <c r="P30" t="s">
        <v>35</v>
      </c>
    </row>
    <row r="31" spans="1:16" ht="12" customHeight="1" x14ac:dyDescent="0.2">
      <c r="A31" t="s">
        <v>36</v>
      </c>
      <c r="B31" s="9">
        <v>412</v>
      </c>
      <c r="C31" s="10">
        <v>450</v>
      </c>
      <c r="D31" s="9">
        <v>598</v>
      </c>
      <c r="E31" s="10">
        <v>615</v>
      </c>
      <c r="F31" s="10">
        <v>972</v>
      </c>
      <c r="G31" s="9">
        <v>978</v>
      </c>
      <c r="H31" s="9">
        <v>1091</v>
      </c>
      <c r="I31" s="10">
        <v>1161</v>
      </c>
      <c r="J31" s="10">
        <v>794</v>
      </c>
      <c r="K31" s="9">
        <v>564</v>
      </c>
      <c r="L31" s="10">
        <v>662</v>
      </c>
      <c r="M31" s="9">
        <v>450</v>
      </c>
      <c r="N31" s="9">
        <f t="shared" si="4"/>
        <v>8747</v>
      </c>
      <c r="P31" t="s">
        <v>37</v>
      </c>
    </row>
    <row r="32" spans="1:16" ht="12" customHeight="1" x14ac:dyDescent="0.2">
      <c r="A32" t="s">
        <v>38</v>
      </c>
      <c r="B32" s="21">
        <f>14+4</f>
        <v>18</v>
      </c>
      <c r="C32" s="22">
        <f>20+4</f>
        <v>24</v>
      </c>
      <c r="D32" s="21">
        <f>42+17</f>
        <v>59</v>
      </c>
      <c r="E32" s="22">
        <f>23+32</f>
        <v>55</v>
      </c>
      <c r="F32" s="22">
        <f>36+22</f>
        <v>58</v>
      </c>
      <c r="G32" s="21">
        <f>58+65</f>
        <v>123</v>
      </c>
      <c r="H32" s="21">
        <f>18+10</f>
        <v>28</v>
      </c>
      <c r="I32" s="22">
        <f>35+11</f>
        <v>46</v>
      </c>
      <c r="J32" s="22">
        <f>16+1</f>
        <v>17</v>
      </c>
      <c r="K32" s="21">
        <f>29+30</f>
        <v>59</v>
      </c>
      <c r="L32" s="22">
        <f>29+6</f>
        <v>35</v>
      </c>
      <c r="M32" s="21">
        <f>21+14</f>
        <v>35</v>
      </c>
      <c r="N32" s="21">
        <f t="shared" si="4"/>
        <v>557</v>
      </c>
      <c r="P32" t="s">
        <v>39</v>
      </c>
    </row>
    <row r="33" spans="1:16" ht="12" customHeight="1" x14ac:dyDescent="0.2">
      <c r="A33" t="s">
        <v>40</v>
      </c>
      <c r="B33" s="9">
        <v>118</v>
      </c>
      <c r="C33" s="10">
        <v>294</v>
      </c>
      <c r="D33" s="9">
        <v>520</v>
      </c>
      <c r="E33" s="10">
        <v>439</v>
      </c>
      <c r="F33" s="10">
        <v>1096</v>
      </c>
      <c r="G33" s="9">
        <v>1061</v>
      </c>
      <c r="H33" s="9">
        <v>1190</v>
      </c>
      <c r="I33" s="10">
        <v>1179</v>
      </c>
      <c r="J33" s="10">
        <v>630</v>
      </c>
      <c r="K33" s="9">
        <v>490</v>
      </c>
      <c r="L33" s="10">
        <v>632</v>
      </c>
      <c r="M33" s="9">
        <v>260</v>
      </c>
      <c r="N33" s="9">
        <f t="shared" si="4"/>
        <v>7909</v>
      </c>
      <c r="P33" t="s">
        <v>41</v>
      </c>
    </row>
    <row r="34" spans="1:16" ht="12" customHeight="1" x14ac:dyDescent="0.2">
      <c r="A34" t="s">
        <v>42</v>
      </c>
      <c r="B34" s="23">
        <f t="shared" ref="B34:M34" si="5">SUM(B29:B33)</f>
        <v>1128</v>
      </c>
      <c r="C34" s="24">
        <f t="shared" si="5"/>
        <v>1378</v>
      </c>
      <c r="D34" s="23">
        <f t="shared" si="5"/>
        <v>1863</v>
      </c>
      <c r="E34" s="23">
        <f t="shared" si="5"/>
        <v>1770</v>
      </c>
      <c r="F34" s="24">
        <f t="shared" si="5"/>
        <v>2818</v>
      </c>
      <c r="G34" s="23">
        <f t="shared" si="5"/>
        <v>2826</v>
      </c>
      <c r="H34" s="23">
        <f t="shared" si="5"/>
        <v>3040</v>
      </c>
      <c r="I34" s="24">
        <f t="shared" si="5"/>
        <v>3097</v>
      </c>
      <c r="J34" s="24">
        <f t="shared" si="5"/>
        <v>2041</v>
      </c>
      <c r="K34" s="23">
        <f t="shared" si="5"/>
        <v>1768</v>
      </c>
      <c r="L34" s="24">
        <f t="shared" si="5"/>
        <v>1930</v>
      </c>
      <c r="M34" s="23">
        <f t="shared" si="5"/>
        <v>1345</v>
      </c>
      <c r="N34" s="23">
        <f t="shared" si="4"/>
        <v>25004</v>
      </c>
    </row>
    <row r="35" spans="1:16" ht="12" customHeight="1" x14ac:dyDescent="0.2">
      <c r="C35" s="3"/>
      <c r="I35" s="3"/>
      <c r="J35" s="3"/>
      <c r="L35" s="3"/>
    </row>
    <row r="36" spans="1:16" ht="12" customHeight="1" x14ac:dyDescent="0.2">
      <c r="A36" s="7" t="s">
        <v>43</v>
      </c>
      <c r="C36" s="3"/>
      <c r="I36" s="3"/>
      <c r="J36" s="3"/>
      <c r="L36" s="3"/>
    </row>
    <row r="37" spans="1:16" ht="12" customHeight="1" x14ac:dyDescent="0.2">
      <c r="A37" s="7" t="s">
        <v>44</v>
      </c>
      <c r="B37" s="25"/>
      <c r="C37" s="3"/>
      <c r="I37" s="3"/>
      <c r="J37" s="3"/>
      <c r="L37" s="3"/>
      <c r="N37" s="26"/>
    </row>
    <row r="38" spans="1:16" ht="12" customHeight="1" x14ac:dyDescent="0.2">
      <c r="A38" s="27" t="s">
        <v>45</v>
      </c>
      <c r="C38" s="3"/>
      <c r="D38">
        <v>705000</v>
      </c>
      <c r="G38" s="3"/>
      <c r="H38" s="3"/>
      <c r="I38" s="3"/>
      <c r="J38" s="3"/>
      <c r="K38" s="3"/>
      <c r="L38" s="3"/>
      <c r="M38" s="3"/>
      <c r="N38">
        <f>SUM(B38:M38)</f>
        <v>705000</v>
      </c>
    </row>
    <row r="39" spans="1:16" ht="12" customHeight="1" x14ac:dyDescent="0.2">
      <c r="A39" s="27" t="s">
        <v>46</v>
      </c>
      <c r="B39">
        <f>2753700+779700</f>
        <v>3533400</v>
      </c>
      <c r="C39" s="3">
        <v>3317700</v>
      </c>
      <c r="D39">
        <v>2958000</v>
      </c>
      <c r="E39">
        <v>3197100</v>
      </c>
      <c r="F39" s="3">
        <v>3136500</v>
      </c>
      <c r="G39" s="3">
        <v>3122100</v>
      </c>
      <c r="H39" s="3">
        <v>3549300</v>
      </c>
      <c r="I39" s="3">
        <v>3525600</v>
      </c>
      <c r="J39" s="3">
        <v>3322200</v>
      </c>
      <c r="K39" s="3">
        <v>3356100</v>
      </c>
      <c r="L39" s="3">
        <v>3322200</v>
      </c>
      <c r="M39" s="3">
        <v>3322200</v>
      </c>
      <c r="N39">
        <f>SUM(B39:M39)</f>
        <v>39662400</v>
      </c>
    </row>
    <row r="40" spans="1:16" ht="12" customHeight="1" x14ac:dyDescent="0.2">
      <c r="A40" s="7" t="s">
        <v>47</v>
      </c>
      <c r="B40" s="25"/>
      <c r="C40" s="3"/>
      <c r="I40" s="3"/>
      <c r="L40" s="3"/>
      <c r="N40" s="26"/>
    </row>
    <row r="41" spans="1:16" ht="12" customHeight="1" x14ac:dyDescent="0.2">
      <c r="A41" s="27" t="s">
        <v>48</v>
      </c>
      <c r="C41" s="3"/>
      <c r="G41" s="3"/>
      <c r="H41" s="3"/>
      <c r="I41" s="3"/>
      <c r="J41" s="3"/>
      <c r="K41" s="3"/>
      <c r="L41" s="3"/>
      <c r="M41" s="3"/>
      <c r="N41">
        <f>SUM(B41:M41)</f>
        <v>0</v>
      </c>
    </row>
    <row r="42" spans="1:16" ht="12" customHeight="1" x14ac:dyDescent="0.2">
      <c r="A42" s="27" t="s">
        <v>49</v>
      </c>
      <c r="B42">
        <v>3666000</v>
      </c>
      <c r="C42" s="3">
        <v>3713000</v>
      </c>
      <c r="D42">
        <v>4935000</v>
      </c>
      <c r="E42">
        <v>4559000</v>
      </c>
      <c r="F42" s="3">
        <v>4465000</v>
      </c>
      <c r="G42" s="3">
        <v>5029000</v>
      </c>
      <c r="H42" s="3">
        <v>5029000</v>
      </c>
      <c r="I42" s="3">
        <v>4324000</v>
      </c>
      <c r="J42" s="3">
        <v>3384000</v>
      </c>
      <c r="K42" s="3">
        <v>3525000</v>
      </c>
      <c r="L42" s="3">
        <v>3807000</v>
      </c>
      <c r="M42" s="3">
        <v>3478000</v>
      </c>
      <c r="N42">
        <f>SUM(B42:M42)</f>
        <v>49914000</v>
      </c>
    </row>
    <row r="43" spans="1:16" ht="12" customHeight="1" x14ac:dyDescent="0.2">
      <c r="A43" s="28" t="s">
        <v>50</v>
      </c>
      <c r="B43" s="25"/>
      <c r="C43" s="3"/>
      <c r="I43" s="3"/>
      <c r="L43" s="3"/>
      <c r="N43" s="26"/>
    </row>
    <row r="44" spans="1:16" ht="12" customHeight="1" x14ac:dyDescent="0.2">
      <c r="A44" s="27" t="s">
        <v>51</v>
      </c>
      <c r="C44" s="3"/>
      <c r="I44" s="3"/>
      <c r="L44" s="3"/>
      <c r="M44" s="3"/>
      <c r="N44">
        <f>SUM(B44:M44)</f>
        <v>0</v>
      </c>
    </row>
    <row r="45" spans="1:16" ht="12" customHeight="1" x14ac:dyDescent="0.2">
      <c r="A45" s="27" t="s">
        <v>52</v>
      </c>
      <c r="B45">
        <v>3093000</v>
      </c>
      <c r="C45" s="3">
        <v>3430500</v>
      </c>
      <c r="D45">
        <v>3484500</v>
      </c>
      <c r="E45">
        <v>3327000</v>
      </c>
      <c r="F45" s="3">
        <v>3436500</v>
      </c>
      <c r="G45" s="3">
        <v>3583500</v>
      </c>
      <c r="H45" s="3">
        <v>3438000</v>
      </c>
      <c r="I45" s="3">
        <v>3907500</v>
      </c>
      <c r="J45" s="3">
        <v>3342000</v>
      </c>
      <c r="K45" s="3">
        <v>3441000</v>
      </c>
      <c r="L45" s="3">
        <v>3273000</v>
      </c>
      <c r="M45" s="3">
        <v>2790000</v>
      </c>
      <c r="N45">
        <f>SUM(B45:M45)</f>
        <v>40546500</v>
      </c>
    </row>
    <row r="46" spans="1:16" ht="12" customHeight="1" x14ac:dyDescent="0.2">
      <c r="A46" s="7" t="s">
        <v>53</v>
      </c>
      <c r="C46" s="3"/>
      <c r="I46" s="3"/>
      <c r="L46" s="3"/>
      <c r="N46" s="26"/>
    </row>
    <row r="47" spans="1:16" ht="12" customHeight="1" x14ac:dyDescent="0.2">
      <c r="A47" s="29" t="s">
        <v>54</v>
      </c>
      <c r="B47">
        <v>117000</v>
      </c>
      <c r="C47" s="3"/>
      <c r="D47">
        <v>117000</v>
      </c>
      <c r="G47" s="3"/>
      <c r="H47" s="3"/>
      <c r="I47" s="3"/>
      <c r="J47" s="30"/>
      <c r="K47" s="30"/>
      <c r="L47" s="30"/>
      <c r="M47" s="30"/>
      <c r="N47">
        <f>SUM(B47:M47)</f>
        <v>234000</v>
      </c>
    </row>
    <row r="48" spans="1:16" ht="12" customHeight="1" x14ac:dyDescent="0.2">
      <c r="A48" s="29" t="s">
        <v>55</v>
      </c>
      <c r="C48" s="3"/>
      <c r="G48" s="3"/>
      <c r="H48" s="3"/>
      <c r="I48" s="3"/>
      <c r="J48" s="30">
        <v>140000</v>
      </c>
      <c r="K48" s="30"/>
      <c r="L48" s="30">
        <v>140000</v>
      </c>
      <c r="M48" s="27"/>
      <c r="N48">
        <f>SUM(B48:M48)</f>
        <v>280000</v>
      </c>
    </row>
    <row r="49" spans="1:14" ht="12" customHeight="1" x14ac:dyDescent="0.2">
      <c r="A49" s="7" t="s">
        <v>56</v>
      </c>
      <c r="C49" s="3"/>
      <c r="I49" s="3"/>
      <c r="L49" s="3"/>
      <c r="N49" s="26"/>
    </row>
    <row r="50" spans="1:14" ht="12" customHeight="1" x14ac:dyDescent="0.2">
      <c r="A50" t="s">
        <v>57</v>
      </c>
      <c r="B50" s="31">
        <v>212500</v>
      </c>
      <c r="C50" s="31">
        <v>195500</v>
      </c>
      <c r="D50" s="32">
        <v>263500</v>
      </c>
      <c r="E50" s="31">
        <v>195500</v>
      </c>
      <c r="F50" s="31">
        <v>195500</v>
      </c>
      <c r="G50" s="31">
        <v>204000</v>
      </c>
      <c r="H50" s="31">
        <v>246500</v>
      </c>
      <c r="I50" s="31">
        <v>212500</v>
      </c>
      <c r="J50" s="31">
        <v>170000</v>
      </c>
      <c r="K50" s="31">
        <v>178500</v>
      </c>
      <c r="L50" s="31">
        <v>221000</v>
      </c>
      <c r="M50" s="31">
        <v>289000</v>
      </c>
      <c r="N50" s="32">
        <f>SUM(B50:M50)</f>
        <v>2584000</v>
      </c>
    </row>
    <row r="51" spans="1:14" ht="12" customHeight="1" x14ac:dyDescent="0.2">
      <c r="A51" t="s">
        <v>58</v>
      </c>
      <c r="B51" s="33"/>
      <c r="C51" s="33"/>
      <c r="D51" s="20"/>
      <c r="E51" s="20"/>
      <c r="F51" s="33"/>
      <c r="G51" s="20"/>
      <c r="H51" s="20"/>
      <c r="I51" s="33"/>
      <c r="J51" s="20"/>
      <c r="K51" s="20"/>
      <c r="L51" s="33"/>
      <c r="M51" s="20"/>
      <c r="N51" s="20">
        <f>SUM(B51:M51)</f>
        <v>0</v>
      </c>
    </row>
    <row r="52" spans="1:14" ht="12" customHeight="1" x14ac:dyDescent="0.2">
      <c r="A52" t="s">
        <v>18</v>
      </c>
      <c r="B52">
        <f t="shared" ref="B52:M52" si="6">SUM(B38:B51)</f>
        <v>10621900</v>
      </c>
      <c r="C52">
        <f t="shared" si="6"/>
        <v>10656700</v>
      </c>
      <c r="D52">
        <f t="shared" si="6"/>
        <v>12463000</v>
      </c>
      <c r="E52">
        <f t="shared" si="6"/>
        <v>11278600</v>
      </c>
      <c r="F52" s="3">
        <f t="shared" si="6"/>
        <v>11233500</v>
      </c>
      <c r="G52">
        <f t="shared" si="6"/>
        <v>11938600</v>
      </c>
      <c r="H52">
        <f t="shared" si="6"/>
        <v>12262800</v>
      </c>
      <c r="I52" s="3">
        <f t="shared" si="6"/>
        <v>11969600</v>
      </c>
      <c r="J52">
        <f t="shared" si="6"/>
        <v>10358200</v>
      </c>
      <c r="K52">
        <f t="shared" si="6"/>
        <v>10500600</v>
      </c>
      <c r="L52" s="3">
        <f t="shared" si="6"/>
        <v>10763200</v>
      </c>
      <c r="M52">
        <f t="shared" si="6"/>
        <v>9879200</v>
      </c>
      <c r="N52">
        <f>SUM(B52:M52)</f>
        <v>133925900</v>
      </c>
    </row>
    <row r="53" spans="1:14" x14ac:dyDescent="0.2">
      <c r="I53" s="3"/>
      <c r="L53" s="3"/>
      <c r="N53">
        <f>SUM(N38:N51)</f>
        <v>133925900</v>
      </c>
    </row>
    <row r="54" spans="1:14" x14ac:dyDescent="0.2">
      <c r="I54" s="3"/>
      <c r="L54" s="3"/>
    </row>
    <row r="55" spans="1:14" x14ac:dyDescent="0.2">
      <c r="L55" s="3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6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2012</vt:lpstr>
      <vt:lpstr>'Stats 2012'!Print_Area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2013-01-12T19:41:38Z</dcterms:created>
  <dcterms:modified xsi:type="dcterms:W3CDTF">2013-01-12T19:42:02Z</dcterms:modified>
</cp:coreProperties>
</file>