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015" sheetId="1" r:id="rId1"/>
  </sheets>
  <definedNames>
    <definedName name="_xlnm.Print_Area" localSheetId="0">'2015'!$A$1:$R$43</definedName>
  </definedNames>
  <calcPr calcId="145621"/>
</workbook>
</file>

<file path=xl/calcChain.xml><?xml version="1.0" encoding="utf-8"?>
<calcChain xmlns="http://schemas.openxmlformats.org/spreadsheetml/2006/main">
  <c r="L42" i="1" l="1"/>
  <c r="J42" i="1"/>
  <c r="H42" i="1"/>
  <c r="F42" i="1"/>
  <c r="D42" i="1"/>
  <c r="B42" i="1"/>
  <c r="Q40" i="1"/>
  <c r="P40" i="1"/>
  <c r="O40" i="1"/>
  <c r="Q39" i="1"/>
  <c r="P39" i="1"/>
  <c r="O39" i="1"/>
  <c r="Q38" i="1"/>
  <c r="O38" i="1"/>
  <c r="K38" i="1"/>
  <c r="C38" i="1"/>
  <c r="P38" i="1" s="1"/>
  <c r="Q37" i="1"/>
  <c r="P37" i="1"/>
  <c r="O37" i="1"/>
  <c r="K37" i="1"/>
  <c r="C37" i="1"/>
  <c r="Q36" i="1"/>
  <c r="O36" i="1"/>
  <c r="K36" i="1"/>
  <c r="G36" i="1"/>
  <c r="C36" i="1"/>
  <c r="P36" i="1" s="1"/>
  <c r="Q35" i="1"/>
  <c r="O35" i="1"/>
  <c r="K35" i="1"/>
  <c r="K42" i="1" s="1"/>
  <c r="G35" i="1"/>
  <c r="G42" i="1" s="1"/>
  <c r="C35" i="1"/>
  <c r="P35" i="1" s="1"/>
  <c r="Q34" i="1"/>
  <c r="O34" i="1"/>
  <c r="C34" i="1"/>
  <c r="Q33" i="1"/>
  <c r="O33" i="1"/>
  <c r="C33" i="1"/>
  <c r="Q32" i="1"/>
  <c r="O32" i="1"/>
  <c r="C32" i="1"/>
  <c r="Q31" i="1"/>
  <c r="O31" i="1"/>
  <c r="C31" i="1"/>
  <c r="Q30" i="1"/>
  <c r="O30" i="1"/>
  <c r="D30" i="1"/>
  <c r="C30" i="1"/>
  <c r="Q29" i="1"/>
  <c r="Q41" i="1" s="1"/>
  <c r="O29" i="1"/>
  <c r="O41" i="1" s="1"/>
  <c r="C29" i="1"/>
  <c r="C42" i="1" s="1"/>
  <c r="P20" i="1"/>
  <c r="O20" i="1"/>
  <c r="N20" i="1"/>
  <c r="L20" i="1"/>
  <c r="J20" i="1"/>
  <c r="H20" i="1"/>
  <c r="F20" i="1"/>
  <c r="D20" i="1"/>
  <c r="B20" i="1"/>
  <c r="K12" i="1"/>
  <c r="G12" i="1"/>
  <c r="C12" i="1"/>
  <c r="P34" i="1" s="1"/>
  <c r="K11" i="1"/>
  <c r="G11" i="1"/>
  <c r="C11" i="1"/>
  <c r="P33" i="1" s="1"/>
  <c r="K10" i="1"/>
  <c r="G10" i="1"/>
  <c r="G20" i="1" s="1"/>
  <c r="C10" i="1"/>
  <c r="P32" i="1" s="1"/>
  <c r="K9" i="1"/>
  <c r="K20" i="1" s="1"/>
  <c r="G9" i="1"/>
  <c r="C9" i="1"/>
  <c r="P31" i="1" s="1"/>
  <c r="G8" i="1"/>
  <c r="C8" i="1"/>
  <c r="P30" i="1" s="1"/>
  <c r="G7" i="1"/>
  <c r="C7" i="1"/>
  <c r="P29" i="1" s="1"/>
  <c r="P41" i="1" l="1"/>
  <c r="C20" i="1"/>
</calcChain>
</file>

<file path=xl/comments1.xml><?xml version="1.0" encoding="utf-8"?>
<comments xmlns="http://schemas.openxmlformats.org/spreadsheetml/2006/main">
  <authors>
    <author>sbruno</author>
    <author>Sheilah Bruno</author>
    <author>Erie Municipal Airport Authority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sbruno:</t>
        </r>
        <r>
          <rPr>
            <sz val="8"/>
            <color indexed="81"/>
            <rFont val="Tahoma"/>
            <family val="2"/>
          </rPr>
          <t xml:space="preserve">
MAG minimum annual guarantee</t>
        </r>
      </text>
    </comment>
    <comment ref="K7" authorId="1">
      <text>
        <r>
          <rPr>
            <b/>
            <sz val="9"/>
            <color indexed="81"/>
            <rFont val="Tahoma"/>
            <family val="2"/>
          </rPr>
          <t>Gross Receipts:
$45,095.95</t>
        </r>
      </text>
    </comment>
    <comment ref="K8" authorId="1">
      <text>
        <r>
          <rPr>
            <b/>
            <sz val="9"/>
            <color indexed="81"/>
            <rFont val="Tahoma"/>
            <family val="2"/>
          </rPr>
          <t>Gross Receipts:
$51,924.03</t>
        </r>
      </text>
    </comment>
    <comment ref="D30" authorId="1">
      <text>
        <r>
          <rPr>
            <sz val="9"/>
            <color indexed="81"/>
            <rFont val="Tahoma"/>
            <family val="2"/>
          </rPr>
          <t>After Feb Financials were closed, Hertz sent a correcting report. The Mar Financials reflect the Feb correction of $(1,830.50), but the RAC report shows the amounts in the correct month.</t>
        </r>
      </text>
    </comment>
    <comment ref="D31" authorId="1">
      <text>
        <r>
          <rPr>
            <sz val="9"/>
            <color indexed="81"/>
            <rFont val="Tahoma"/>
            <family val="2"/>
          </rPr>
          <t>After Feb Financials were closed, Hertz sent a correcting report. The Mar Financials reflect the Feb correction of $(1,830.50), but the RAC report shows the amounts in the correct month.</t>
        </r>
      </text>
    </comment>
    <comment ref="G37" authorId="1">
      <text>
        <r>
          <rPr>
            <b/>
            <sz val="9"/>
            <color indexed="81"/>
            <rFont val="Tahoma"/>
            <family val="2"/>
          </rPr>
          <t>Gross Receipts:</t>
        </r>
        <r>
          <rPr>
            <sz val="9"/>
            <color indexed="81"/>
            <rFont val="Tahoma"/>
            <family val="2"/>
          </rPr>
          <t xml:space="preserve">
$91,988.67</t>
        </r>
      </text>
    </comment>
    <comment ref="G38" authorId="1">
      <text>
        <r>
          <rPr>
            <b/>
            <sz val="9"/>
            <color indexed="81"/>
            <rFont val="Tahoma"/>
            <family val="2"/>
          </rPr>
          <t>Gross Receipts:</t>
        </r>
        <r>
          <rPr>
            <sz val="9"/>
            <color indexed="81"/>
            <rFont val="Tahoma"/>
            <family val="2"/>
          </rPr>
          <t xml:space="preserve">
$94,868.36</t>
        </r>
      </text>
    </comment>
    <comment ref="C39" authorId="1">
      <text>
        <r>
          <rPr>
            <b/>
            <sz val="9"/>
            <color indexed="81"/>
            <rFont val="Tahoma"/>
            <family val="2"/>
          </rPr>
          <t>Gross Receipts:</t>
        </r>
        <r>
          <rPr>
            <sz val="9"/>
            <color indexed="81"/>
            <rFont val="Tahoma"/>
            <family val="2"/>
          </rPr>
          <t xml:space="preserve">
$65193.63</t>
        </r>
      </text>
    </comment>
    <comment ref="G39" authorId="1">
      <text>
        <r>
          <rPr>
            <b/>
            <sz val="9"/>
            <color indexed="81"/>
            <rFont val="Tahoma"/>
            <family val="2"/>
          </rPr>
          <t>Gross Receipts:</t>
        </r>
        <r>
          <rPr>
            <sz val="9"/>
            <color indexed="81"/>
            <rFont val="Tahoma"/>
            <family val="2"/>
          </rPr>
          <t xml:space="preserve">
$82,173.95</t>
        </r>
      </text>
    </comment>
    <comment ref="K39" authorId="1">
      <text>
        <r>
          <rPr>
            <b/>
            <sz val="9"/>
            <color indexed="81"/>
            <rFont val="Tahoma"/>
            <family val="2"/>
          </rPr>
          <t>Gross Receipts:</t>
        </r>
        <r>
          <rPr>
            <sz val="9"/>
            <color indexed="81"/>
            <rFont val="Tahoma"/>
            <family val="2"/>
          </rPr>
          <t xml:space="preserve">
$127,416.78</t>
        </r>
      </text>
    </comment>
    <comment ref="C40" authorId="1">
      <text>
        <r>
          <rPr>
            <b/>
            <sz val="9"/>
            <color indexed="81"/>
            <rFont val="Tahoma"/>
            <family val="2"/>
          </rPr>
          <t>Gross $60,189.27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1">
      <text>
        <r>
          <rPr>
            <b/>
            <sz val="9"/>
            <color indexed="81"/>
            <rFont val="Tahoma"/>
            <family val="2"/>
          </rPr>
          <t>Gross Receipts:
$68,123.26</t>
        </r>
      </text>
    </comment>
    <comment ref="K40" authorId="1">
      <text>
        <r>
          <rPr>
            <sz val="9"/>
            <color indexed="81"/>
            <rFont val="Tahoma"/>
            <family val="2"/>
          </rPr>
          <t>Gross Receipts:
$115,712.74</t>
        </r>
      </text>
    </comment>
    <comment ref="P41" authorId="2">
      <text>
        <r>
          <rPr>
            <b/>
            <sz val="8"/>
            <color indexed="81"/>
            <rFont val="Tahoma"/>
            <family val="2"/>
          </rPr>
          <t xml:space="preserve">Acct #34105
Total does not include
$1295.84 credit due to YE 6.30.15 audit correction.
</t>
        </r>
      </text>
    </comment>
    <comment ref="Q41" authorId="2">
      <text>
        <r>
          <rPr>
            <b/>
            <sz val="8"/>
            <color indexed="81"/>
            <rFont val="Tahoma"/>
            <family val="2"/>
          </rPr>
          <t>#34106</t>
        </r>
      </text>
    </comment>
  </commentList>
</comments>
</file>

<file path=xl/sharedStrings.xml><?xml version="1.0" encoding="utf-8"?>
<sst xmlns="http://schemas.openxmlformats.org/spreadsheetml/2006/main" count="112" uniqueCount="39">
  <si>
    <t>On Airport</t>
  </si>
  <si>
    <t>Off Airport</t>
  </si>
  <si>
    <t xml:space="preserve"> </t>
  </si>
  <si>
    <t>(MAG) Minimum Monthly Guarantee</t>
  </si>
  <si>
    <r>
      <t xml:space="preserve">Monthly Guarantee </t>
    </r>
    <r>
      <rPr>
        <b/>
        <u/>
        <sz val="10"/>
        <rFont val="Arial"/>
        <family val="2"/>
      </rPr>
      <t>plus</t>
    </r>
    <r>
      <rPr>
        <sz val="10"/>
        <rFont val="Arial"/>
        <family val="2"/>
      </rPr>
      <t xml:space="preserve"> 10% of Gross Revenue Over Guarantee</t>
    </r>
  </si>
  <si>
    <t>Customer Facility Charge (CFC)</t>
  </si>
  <si>
    <t>AVIS</t>
  </si>
  <si>
    <t>NATIONAL/ALAMO</t>
  </si>
  <si>
    <t>ENTERPRISE</t>
  </si>
  <si>
    <t>BUDGET</t>
  </si>
  <si>
    <t>(Nat Corp)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</si>
  <si>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</si>
  <si>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</si>
  <si>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</si>
  <si>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</si>
  <si>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</si>
  <si>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</si>
  <si>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</si>
  <si>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</si>
  <si>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</si>
  <si>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</si>
  <si>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</si>
  <si>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</si>
  <si>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YTD</t>
  </si>
  <si>
    <t>TOTAL YTD REVENUE</t>
  </si>
  <si>
    <t>Minimum Monthly Guarantee</t>
  </si>
  <si>
    <t>HERTZ</t>
  </si>
  <si>
    <t>AVIS / BUDGET</t>
  </si>
  <si>
    <t>ENTERPRISE/NATIONAL/ALAMO</t>
  </si>
  <si>
    <t>(JR &amp; L Industries)Johnstown Rental</t>
  </si>
  <si>
    <t>(Dual Brand)</t>
  </si>
  <si>
    <t>(Tri Brand)</t>
  </si>
  <si>
    <t>NOTE #1: Gross Revenue Over Guarantee excludes FYE audit adjustments (if applicable).</t>
  </si>
  <si>
    <t xml:space="preserve">NOTE #2: Hertz moved on airport 4/1/04.  </t>
  </si>
  <si>
    <t>NOTE #3: Dollar on airport with Thrifty until move off airport 4/1/04.</t>
  </si>
  <si>
    <t>NOTE #4: Thrifty moved off airport 6/30/08.</t>
  </si>
  <si>
    <t>NOTE #5: Enterprise moved on airport 7/1/08.</t>
  </si>
  <si>
    <t>NOTE #6: Budget moved on airport 7/1/15, Co-Brand with Avis.</t>
  </si>
  <si>
    <t>NOTE #7: Enterprise/National/Alamo Tri-Brand 7/1/15.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</si>
</sst>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0" xfId="0" applyBorder="1"/>
    <xf numFmtId="43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44" fontId="0" fillId="0" borderId="2" xfId="0" applyNumberFormat="1" applyBorder="1" applyAlignment="1">
      <alignment horizontal="center"/>
    </xf>
    <xf numFmtId="44" fontId="0" fillId="0" borderId="3" xfId="0" applyNumberFormat="1" applyFill="1" applyBorder="1" applyAlignment="1">
      <alignment horizontal="center"/>
    </xf>
    <xf numFmtId="44" fontId="0" fillId="0" borderId="4" xfId="0" applyNumberFormat="1" applyFill="1" applyBorder="1" applyAlignment="1">
      <alignment horizontal="center"/>
    </xf>
    <xf numFmtId="44" fontId="0" fillId="0" borderId="0" xfId="0" applyNumberFormat="1" applyFill="1" applyBorder="1"/>
    <xf numFmtId="44" fontId="0" fillId="0" borderId="2" xfId="0" applyNumberFormat="1" applyFill="1" applyBorder="1" applyAlignment="1">
      <alignment horizontal="center"/>
    </xf>
    <xf numFmtId="44" fontId="0" fillId="0" borderId="3" xfId="0" applyNumberFormat="1" applyFill="1" applyBorder="1" applyAlignment="1">
      <alignment horizontal="right"/>
    </xf>
    <xf numFmtId="44" fontId="0" fillId="0" borderId="4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0" fillId="0" borderId="0" xfId="0" applyNumberFormat="1"/>
    <xf numFmtId="44" fontId="1" fillId="0" borderId="0" xfId="1" applyFill="1" applyBorder="1"/>
    <xf numFmtId="0" fontId="0" fillId="0" borderId="0" xfId="0" applyFill="1"/>
    <xf numFmtId="44" fontId="0" fillId="0" borderId="5" xfId="0" applyNumberFormat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44" fontId="0" fillId="0" borderId="6" xfId="0" applyNumberFormat="1" applyFill="1" applyBorder="1" applyAlignment="1">
      <alignment horizontal="center"/>
    </xf>
    <xf numFmtId="44" fontId="0" fillId="0" borderId="5" xfId="0" applyNumberFormat="1" applyFill="1" applyBorder="1" applyAlignment="1">
      <alignment horizontal="center"/>
    </xf>
    <xf numFmtId="44" fontId="0" fillId="0" borderId="0" xfId="0" applyNumberFormat="1" applyFill="1" applyBorder="1" applyAlignment="1">
      <alignment horizontal="right"/>
    </xf>
    <xf numFmtId="44" fontId="0" fillId="0" borderId="6" xfId="0" applyNumberFormat="1" applyBorder="1" applyAlignment="1">
      <alignment horizontal="center"/>
    </xf>
    <xf numFmtId="0" fontId="1" fillId="0" borderId="0" xfId="0" applyFont="1"/>
    <xf numFmtId="44" fontId="0" fillId="0" borderId="7" xfId="0" applyNumberFormat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0" fillId="0" borderId="8" xfId="0" applyNumberFormat="1" applyFill="1" applyBorder="1" applyAlignment="1">
      <alignment horizontal="center"/>
    </xf>
    <xf numFmtId="44" fontId="0" fillId="0" borderId="7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right"/>
    </xf>
    <xf numFmtId="44" fontId="0" fillId="0" borderId="8" xfId="0" applyNumberForma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44" fontId="0" fillId="0" borderId="0" xfId="0" applyNumberFormat="1" applyFill="1"/>
    <xf numFmtId="44" fontId="1" fillId="0" borderId="0" xfId="1" applyBorder="1"/>
    <xf numFmtId="44" fontId="0" fillId="0" borderId="0" xfId="1" applyFont="1" applyBorder="1" applyAlignment="1">
      <alignment horizontal="center"/>
    </xf>
    <xf numFmtId="164" fontId="0" fillId="0" borderId="0" xfId="0" applyNumberFormat="1" applyFill="1" applyBorder="1"/>
    <xf numFmtId="44" fontId="0" fillId="0" borderId="9" xfId="0" applyNumberFormat="1" applyFill="1" applyBorder="1"/>
    <xf numFmtId="44" fontId="0" fillId="0" borderId="1" xfId="0" applyNumberFormat="1" applyBorder="1" applyAlignment="1">
      <alignment horizontal="right"/>
    </xf>
    <xf numFmtId="4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7" fontId="1" fillId="0" borderId="0" xfId="0" applyNumberFormat="1" applyFont="1" applyAlignment="1">
      <alignment horizontal="center"/>
    </xf>
    <xf numFmtId="7" fontId="1" fillId="0" borderId="0" xfId="0" applyNumberFormat="1" applyFont="1"/>
    <xf numFmtId="164" fontId="0" fillId="0" borderId="0" xfId="0" applyNumberFormat="1" applyAlignment="1">
      <alignment horizontal="right"/>
    </xf>
    <xf numFmtId="164" fontId="0" fillId="0" borderId="0" xfId="0" applyNumberFormat="1"/>
    <xf numFmtId="165" fontId="0" fillId="0" borderId="0" xfId="0" applyNumberFormat="1" applyFill="1"/>
    <xf numFmtId="164" fontId="0" fillId="0" borderId="0" xfId="0" applyNumberFormat="1" applyFill="1"/>
    <xf numFmtId="44" fontId="6" fillId="0" borderId="0" xfId="0" applyNumberFormat="1" applyFont="1" applyFill="1"/>
    <xf numFmtId="0" fontId="7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wrapText="1"/>
    </xf>
    <xf numFmtId="9" fontId="0" fillId="0" borderId="3" xfId="0" applyNumberFormat="1" applyBorder="1" applyAlignment="1">
      <alignment horizontal="center" wrapText="1"/>
    </xf>
    <xf numFmtId="9" fontId="0" fillId="0" borderId="4" xfId="0" applyNumberFormat="1" applyBorder="1" applyAlignment="1">
      <alignment horizontal="center" wrapText="1"/>
    </xf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1" fillId="0" borderId="1" xfId="0" applyFont="1" applyBorder="1" applyAlignment="1">
      <alignment horizontal="center"/>
    </xf>
    <xf numFmtId="164" fontId="0" fillId="0" borderId="0" xfId="0" applyNumberFormat="1" applyBorder="1"/>
    <xf numFmtId="164" fontId="5" fillId="5" borderId="2" xfId="0" applyNumberFormat="1" applyFont="1" applyFill="1" applyBorder="1"/>
    <xf numFmtId="164" fontId="5" fillId="5" borderId="3" xfId="0" applyNumberFormat="1" applyFont="1" applyFill="1" applyBorder="1"/>
    <xf numFmtId="164" fontId="5" fillId="5" borderId="4" xfId="0" applyNumberFormat="1" applyFont="1" applyFill="1" applyBorder="1"/>
    <xf numFmtId="164" fontId="5" fillId="5" borderId="5" xfId="0" applyNumberFormat="1" applyFont="1" applyFill="1" applyBorder="1"/>
    <xf numFmtId="164" fontId="5" fillId="5" borderId="0" xfId="0" applyNumberFormat="1" applyFont="1" applyFill="1" applyBorder="1"/>
    <xf numFmtId="164" fontId="5" fillId="5" borderId="6" xfId="0" applyNumberFormat="1" applyFont="1" applyFill="1" applyBorder="1"/>
    <xf numFmtId="44" fontId="1" fillId="0" borderId="0" xfId="1"/>
    <xf numFmtId="44" fontId="0" fillId="0" borderId="5" xfId="0" applyNumberFormat="1" applyFill="1" applyBorder="1"/>
    <xf numFmtId="164" fontId="5" fillId="5" borderId="10" xfId="0" applyNumberFormat="1" applyFont="1" applyFill="1" applyBorder="1"/>
    <xf numFmtId="164" fontId="5" fillId="5" borderId="11" xfId="0" applyNumberFormat="1" applyFont="1" applyFill="1" applyBorder="1"/>
    <xf numFmtId="44" fontId="0" fillId="0" borderId="0" xfId="0" applyNumberFormat="1" applyFill="1" applyAlignment="1">
      <alignment horizontal="center"/>
    </xf>
    <xf numFmtId="164" fontId="5" fillId="5" borderId="12" xfId="0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  <xf numFmtId="164" fontId="5" fillId="4" borderId="14" xfId="0" applyNumberFormat="1" applyFont="1" applyFill="1" applyBorder="1" applyAlignment="1">
      <alignment horizontal="center" vertical="center"/>
    </xf>
    <xf numFmtId="0" fontId="0" fillId="0" borderId="7" xfId="0" applyBorder="1"/>
    <xf numFmtId="164" fontId="5" fillId="5" borderId="15" xfId="0" applyNumberFormat="1" applyFont="1" applyFill="1" applyBorder="1" applyAlignment="1">
      <alignment horizontal="center" vertical="center"/>
    </xf>
    <xf numFmtId="164" fontId="5" fillId="4" borderId="16" xfId="0" applyNumberFormat="1" applyFont="1" applyFill="1" applyBorder="1" applyAlignment="1">
      <alignment horizontal="center" vertical="center"/>
    </xf>
    <xf numFmtId="164" fontId="5" fillId="4" borderId="17" xfId="0" applyNumberFormat="1" applyFont="1" applyFill="1" applyBorder="1" applyAlignment="1">
      <alignment horizontal="center" vertical="center"/>
    </xf>
    <xf numFmtId="166" fontId="1" fillId="0" borderId="0" xfId="1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zoomScale="80" workbookViewId="0">
      <selection activeCell="J30" sqref="J30"/>
    </sheetView>
  </sheetViews>
  <sheetFormatPr defaultRowHeight="12.75" x14ac:dyDescent="0.2"/>
  <cols>
    <col min="1" max="1" width="14.7109375" customWidth="1"/>
    <col min="2" max="2" width="12.28515625" customWidth="1"/>
    <col min="3" max="3" width="12.7109375" customWidth="1"/>
    <col min="4" max="4" width="12.140625" customWidth="1"/>
    <col min="5" max="5" width="1.85546875" customWidth="1"/>
    <col min="6" max="6" width="11.5703125" customWidth="1"/>
    <col min="7" max="7" width="12.5703125" customWidth="1"/>
    <col min="8" max="8" width="12.42578125" customWidth="1"/>
    <col min="9" max="9" width="1.85546875" customWidth="1"/>
    <col min="10" max="10" width="12.140625" customWidth="1"/>
    <col min="11" max="11" width="13.7109375" bestFit="1" customWidth="1"/>
    <col min="12" max="12" width="12.28515625" customWidth="1"/>
    <col min="13" max="13" width="1.85546875" customWidth="1"/>
    <col min="14" max="14" width="11.7109375" customWidth="1"/>
    <col min="15" max="17" width="12.7109375" customWidth="1"/>
    <col min="18" max="18" width="13.85546875" customWidth="1"/>
    <col min="19" max="19" width="12.7109375" customWidth="1"/>
    <col min="20" max="20" width="13" bestFit="1" customWidth="1"/>
  </cols>
  <sheetData>
    <row r="1" spans="1:22" ht="12.75" customHeight="1" x14ac:dyDescent="0.2">
      <c r="A1" s="1"/>
      <c r="B1" s="2" t="s">
        <v>0</v>
      </c>
      <c r="C1" s="2"/>
      <c r="D1" s="2"/>
      <c r="E1" s="3"/>
      <c r="F1" s="2" t="s">
        <v>0</v>
      </c>
      <c r="G1" s="2"/>
      <c r="H1" s="2"/>
      <c r="I1" s="3"/>
      <c r="J1" s="2" t="s">
        <v>0</v>
      </c>
      <c r="K1" s="2"/>
      <c r="L1" s="2"/>
      <c r="M1" s="3"/>
      <c r="N1" s="4" t="s">
        <v>1</v>
      </c>
      <c r="O1" s="4"/>
      <c r="P1" s="4"/>
      <c r="Q1" s="3"/>
      <c r="R1" s="3"/>
      <c r="S1" s="3"/>
    </row>
    <row r="2" spans="1:22" ht="12.75" customHeight="1" x14ac:dyDescent="0.2">
      <c r="A2" s="1"/>
      <c r="B2" s="2"/>
      <c r="C2" s="2"/>
      <c r="D2" s="2"/>
      <c r="F2" s="2"/>
      <c r="G2" s="2"/>
      <c r="H2" s="2"/>
      <c r="J2" s="2"/>
      <c r="K2" s="2"/>
      <c r="L2" s="2"/>
      <c r="N2" s="4"/>
      <c r="O2" s="4"/>
      <c r="P2" s="4"/>
    </row>
    <row r="3" spans="1:22" ht="76.5" x14ac:dyDescent="0.2">
      <c r="A3" s="3" t="s">
        <v>2</v>
      </c>
      <c r="B3" s="5" t="s">
        <v>3</v>
      </c>
      <c r="C3" s="6" t="s">
        <v>4</v>
      </c>
      <c r="D3" s="6" t="s">
        <v>5</v>
      </c>
      <c r="E3" s="6"/>
      <c r="F3" s="5" t="s">
        <v>3</v>
      </c>
      <c r="G3" s="6" t="s">
        <v>4</v>
      </c>
      <c r="H3" s="6" t="s">
        <v>5</v>
      </c>
      <c r="I3" s="6"/>
      <c r="J3" s="5" t="s">
        <v>3</v>
      </c>
      <c r="K3" s="6" t="s">
        <v>4</v>
      </c>
      <c r="L3" s="6" t="s">
        <v>5</v>
      </c>
      <c r="M3" s="6"/>
      <c r="N3" s="5" t="s">
        <v>2</v>
      </c>
      <c r="O3" s="6" t="s">
        <v>4</v>
      </c>
      <c r="P3" s="6" t="s">
        <v>5</v>
      </c>
      <c r="Q3" s="6" t="s">
        <v>2</v>
      </c>
      <c r="S3" s="6" t="s">
        <v>2</v>
      </c>
    </row>
    <row r="4" spans="1:22" x14ac:dyDescent="0.2">
      <c r="A4" s="3"/>
      <c r="B4" s="5"/>
      <c r="C4" s="6"/>
      <c r="D4" s="6"/>
      <c r="E4" s="6"/>
      <c r="F4" s="5"/>
      <c r="G4" s="6"/>
      <c r="H4" s="6"/>
      <c r="I4" s="6"/>
      <c r="J4" s="5"/>
      <c r="K4" s="6"/>
      <c r="L4" s="6"/>
      <c r="M4" s="6"/>
      <c r="N4" s="5"/>
      <c r="O4" s="6"/>
      <c r="P4" s="6"/>
      <c r="Q4" s="6"/>
      <c r="S4" s="6"/>
    </row>
    <row r="5" spans="1:22" ht="15.75" x14ac:dyDescent="0.25">
      <c r="A5" s="3"/>
      <c r="B5" s="7" t="s">
        <v>6</v>
      </c>
      <c r="C5" s="7"/>
      <c r="D5" s="7"/>
      <c r="E5" s="8"/>
      <c r="F5" s="7" t="s">
        <v>7</v>
      </c>
      <c r="G5" s="7"/>
      <c r="H5" s="7"/>
      <c r="I5" s="8"/>
      <c r="J5" s="7" t="s">
        <v>8</v>
      </c>
      <c r="K5" s="7"/>
      <c r="L5" s="7"/>
      <c r="M5" s="8"/>
      <c r="N5" s="7" t="s">
        <v>9</v>
      </c>
      <c r="O5" s="7"/>
      <c r="P5" s="7"/>
      <c r="Q5" s="9" t="s">
        <v>2</v>
      </c>
      <c r="S5" s="9" t="s">
        <v>2</v>
      </c>
      <c r="T5" s="10"/>
      <c r="U5" s="10"/>
    </row>
    <row r="6" spans="1:22" ht="13.5" thickBot="1" x14ac:dyDescent="0.25">
      <c r="B6" s="11"/>
      <c r="C6" s="11"/>
      <c r="D6" s="11"/>
      <c r="E6" s="12"/>
      <c r="F6" s="11" t="s">
        <v>10</v>
      </c>
      <c r="G6" s="11"/>
      <c r="H6" s="11"/>
      <c r="I6" s="12"/>
      <c r="J6" s="11"/>
      <c r="K6" s="11"/>
      <c r="L6" s="11"/>
      <c r="M6" s="12"/>
      <c r="N6" s="11"/>
      <c r="O6" s="11"/>
      <c r="P6" s="11"/>
      <c r="T6" s="13"/>
      <c r="U6" s="14"/>
    </row>
    <row r="7" spans="1:22" x14ac:dyDescent="0.2">
      <c r="A7" t="s">
        <v>11</v>
      </c>
      <c r="B7" s="15">
        <v>5416.67</v>
      </c>
      <c r="C7" s="16">
        <f>5416.67+1219.58</f>
        <v>6636.25</v>
      </c>
      <c r="D7" s="17">
        <v>4070.5</v>
      </c>
      <c r="E7" s="18"/>
      <c r="F7" s="19">
        <v>6670.83</v>
      </c>
      <c r="G7" s="16">
        <f>6670.83+1093.65</f>
        <v>7764.48</v>
      </c>
      <c r="H7" s="17">
        <v>6664</v>
      </c>
      <c r="I7" s="18"/>
      <c r="J7" s="19">
        <v>5498.92</v>
      </c>
      <c r="K7" s="20">
        <v>5498.92</v>
      </c>
      <c r="L7" s="17">
        <v>3146.5</v>
      </c>
      <c r="M7" s="18"/>
      <c r="N7" s="15" t="s">
        <v>2</v>
      </c>
      <c r="O7" s="20">
        <v>1159.24</v>
      </c>
      <c r="P7" s="21"/>
      <c r="Q7" s="22"/>
      <c r="S7" s="23"/>
      <c r="T7" s="24"/>
      <c r="U7" s="22"/>
      <c r="V7" s="25"/>
    </row>
    <row r="8" spans="1:22" x14ac:dyDescent="0.2">
      <c r="A8" t="s">
        <v>12</v>
      </c>
      <c r="B8" s="26">
        <v>5416.67</v>
      </c>
      <c r="C8" s="27">
        <f>5416.67+1617.32</f>
        <v>7033.99</v>
      </c>
      <c r="D8" s="28">
        <v>4553.5</v>
      </c>
      <c r="E8" s="18"/>
      <c r="F8" s="29">
        <v>6670.83</v>
      </c>
      <c r="G8" s="27">
        <f>6670.83+373.97</f>
        <v>7044.8</v>
      </c>
      <c r="H8" s="28">
        <v>6398</v>
      </c>
      <c r="I8" s="18"/>
      <c r="J8" s="29">
        <v>5498.92</v>
      </c>
      <c r="K8" s="30">
        <v>5498.92</v>
      </c>
      <c r="L8" s="28">
        <v>3545.5</v>
      </c>
      <c r="M8" s="18"/>
      <c r="N8" s="26" t="s">
        <v>2</v>
      </c>
      <c r="O8" s="30">
        <v>425.37</v>
      </c>
      <c r="P8" s="28"/>
      <c r="Q8" s="22"/>
      <c r="S8" s="23"/>
      <c r="T8" s="24"/>
      <c r="U8" s="22"/>
      <c r="V8" s="25"/>
    </row>
    <row r="9" spans="1:22" x14ac:dyDescent="0.2">
      <c r="A9" t="s">
        <v>13</v>
      </c>
      <c r="B9" s="26">
        <v>5416.67</v>
      </c>
      <c r="C9" s="27">
        <f>5416.67+4013.44</f>
        <v>9430.11</v>
      </c>
      <c r="D9" s="28">
        <v>5411</v>
      </c>
      <c r="E9" s="18"/>
      <c r="F9" s="29">
        <v>6670.83</v>
      </c>
      <c r="G9" s="27">
        <f>6670.83+2948.01</f>
        <v>9618.84</v>
      </c>
      <c r="H9" s="28">
        <v>7518</v>
      </c>
      <c r="I9" s="18"/>
      <c r="J9" s="29">
        <v>5498.92</v>
      </c>
      <c r="K9" s="30">
        <f>5498.92+958.77</f>
        <v>6457.6900000000005</v>
      </c>
      <c r="L9" s="28">
        <v>4217.5</v>
      </c>
      <c r="M9" s="18"/>
      <c r="N9" s="26" t="s">
        <v>2</v>
      </c>
      <c r="O9" s="30">
        <v>1002.8</v>
      </c>
      <c r="P9" s="31"/>
      <c r="Q9" s="22"/>
      <c r="S9" s="23"/>
      <c r="T9" s="24"/>
      <c r="U9" s="22"/>
      <c r="V9" s="25"/>
    </row>
    <row r="10" spans="1:22" x14ac:dyDescent="0.2">
      <c r="A10" t="s">
        <v>14</v>
      </c>
      <c r="B10" s="26">
        <v>5416.67</v>
      </c>
      <c r="C10" s="27">
        <f>5416.67+2687.4</f>
        <v>8104.07</v>
      </c>
      <c r="D10" s="28">
        <v>5302.5</v>
      </c>
      <c r="E10" s="18"/>
      <c r="F10" s="29">
        <v>6670.83</v>
      </c>
      <c r="G10" s="27">
        <f>6670.83+3007.26</f>
        <v>9678.09</v>
      </c>
      <c r="H10" s="28">
        <v>8277.5</v>
      </c>
      <c r="I10" s="18"/>
      <c r="J10" s="29">
        <v>5498.92</v>
      </c>
      <c r="K10" s="30">
        <f>5498.92+804.85</f>
        <v>6303.77</v>
      </c>
      <c r="L10" s="28">
        <v>4340</v>
      </c>
      <c r="M10" s="18"/>
      <c r="N10" s="26" t="s">
        <v>2</v>
      </c>
      <c r="O10" s="30">
        <v>1099.31</v>
      </c>
      <c r="P10" s="31"/>
      <c r="Q10" s="22"/>
      <c r="S10" s="23"/>
      <c r="T10" s="24"/>
      <c r="U10" s="22"/>
      <c r="V10" s="25"/>
    </row>
    <row r="11" spans="1:22" x14ac:dyDescent="0.2">
      <c r="A11" s="32" t="s">
        <v>15</v>
      </c>
      <c r="B11" s="26">
        <v>5416.67</v>
      </c>
      <c r="C11" s="27">
        <f>5416.67+2141.99</f>
        <v>7558.66</v>
      </c>
      <c r="D11" s="28">
        <v>5176.5</v>
      </c>
      <c r="E11" s="18"/>
      <c r="F11" s="29">
        <v>6670.83</v>
      </c>
      <c r="G11" s="27">
        <f>6670.83+2738.56</f>
        <v>9409.39</v>
      </c>
      <c r="H11" s="28">
        <v>8190</v>
      </c>
      <c r="I11" s="18"/>
      <c r="J11" s="29">
        <v>5498.92</v>
      </c>
      <c r="K11" s="30">
        <f>5498.92+2613.34</f>
        <v>8112.26</v>
      </c>
      <c r="L11" s="28">
        <v>5645.5</v>
      </c>
      <c r="M11" s="18"/>
      <c r="N11" s="26" t="s">
        <v>2</v>
      </c>
      <c r="O11" s="30">
        <v>1009.9</v>
      </c>
      <c r="P11" s="31"/>
      <c r="Q11" s="22"/>
      <c r="S11" s="23"/>
      <c r="T11" s="24"/>
      <c r="U11" s="22"/>
      <c r="V11" s="25"/>
    </row>
    <row r="12" spans="1:22" ht="13.5" thickBot="1" x14ac:dyDescent="0.25">
      <c r="A12" t="s">
        <v>16</v>
      </c>
      <c r="B12" s="33">
        <v>5416.67</v>
      </c>
      <c r="C12" s="34">
        <f>5416.67+2166.71</f>
        <v>7583.38</v>
      </c>
      <c r="D12" s="35">
        <v>5061</v>
      </c>
      <c r="E12" s="18"/>
      <c r="F12" s="36">
        <v>6670.83</v>
      </c>
      <c r="G12" s="34">
        <f>6670.83+3139.29</f>
        <v>9810.119999999999</v>
      </c>
      <c r="H12" s="35">
        <v>8123.5</v>
      </c>
      <c r="I12" s="18"/>
      <c r="J12" s="36">
        <v>5498.92</v>
      </c>
      <c r="K12" s="37">
        <f>5498.92+2532.86</f>
        <v>8031.7800000000007</v>
      </c>
      <c r="L12" s="35">
        <v>6181</v>
      </c>
      <c r="M12" s="18"/>
      <c r="N12" s="33" t="s">
        <v>2</v>
      </c>
      <c r="O12" s="37">
        <v>1153.79</v>
      </c>
      <c r="P12" s="38"/>
      <c r="Q12" s="22"/>
      <c r="S12" s="23"/>
      <c r="T12" s="24"/>
      <c r="U12" s="22"/>
      <c r="V12" s="25"/>
    </row>
    <row r="13" spans="1:22" x14ac:dyDescent="0.2">
      <c r="A13" t="s">
        <v>17</v>
      </c>
      <c r="B13" s="26"/>
      <c r="C13" s="27"/>
      <c r="D13" s="28"/>
      <c r="E13" s="18"/>
      <c r="F13" s="29"/>
      <c r="G13" s="27"/>
      <c r="H13" s="28"/>
      <c r="I13" s="18"/>
      <c r="J13" s="29"/>
      <c r="K13" s="27"/>
      <c r="L13" s="28"/>
      <c r="M13" s="18"/>
      <c r="N13" s="26" t="s">
        <v>2</v>
      </c>
      <c r="O13" s="39"/>
      <c r="P13" s="31"/>
      <c r="Q13" s="40"/>
      <c r="S13" s="23"/>
      <c r="T13" s="41"/>
      <c r="U13" s="22"/>
      <c r="V13" s="25"/>
    </row>
    <row r="14" spans="1:22" x14ac:dyDescent="0.2">
      <c r="A14" t="s">
        <v>18</v>
      </c>
      <c r="B14" s="26"/>
      <c r="C14" s="27"/>
      <c r="D14" s="28"/>
      <c r="E14" s="18"/>
      <c r="F14" s="29"/>
      <c r="G14" s="27"/>
      <c r="H14" s="28"/>
      <c r="I14" s="18"/>
      <c r="J14" s="29"/>
      <c r="K14" s="30"/>
      <c r="L14" s="28"/>
      <c r="M14" s="18"/>
      <c r="N14" s="26" t="s">
        <v>2</v>
      </c>
      <c r="O14" s="30"/>
      <c r="P14" s="31"/>
      <c r="Q14" s="22"/>
      <c r="R14" s="42"/>
      <c r="S14" s="43"/>
      <c r="T14" s="18"/>
      <c r="U14" s="10"/>
      <c r="V14" s="25"/>
    </row>
    <row r="15" spans="1:22" x14ac:dyDescent="0.2">
      <c r="A15" t="s">
        <v>19</v>
      </c>
      <c r="B15" s="26"/>
      <c r="C15" s="27"/>
      <c r="D15" s="28"/>
      <c r="E15" s="18"/>
      <c r="F15" s="29"/>
      <c r="G15" s="27"/>
      <c r="H15" s="28"/>
      <c r="I15" s="18"/>
      <c r="J15" s="29"/>
      <c r="K15" s="27"/>
      <c r="L15" s="28"/>
      <c r="M15" s="18"/>
      <c r="N15" s="26" t="s">
        <v>2</v>
      </c>
      <c r="O15" s="30"/>
      <c r="P15" s="31"/>
      <c r="Q15" s="40"/>
      <c r="R15" s="42"/>
      <c r="S15" s="40"/>
      <c r="T15" s="22"/>
      <c r="U15" s="10"/>
      <c r="V15" s="25"/>
    </row>
    <row r="16" spans="1:22" x14ac:dyDescent="0.2">
      <c r="A16" t="s">
        <v>20</v>
      </c>
      <c r="B16" s="26"/>
      <c r="C16" s="27"/>
      <c r="D16" s="28"/>
      <c r="E16" s="18"/>
      <c r="F16" s="29"/>
      <c r="G16" s="27"/>
      <c r="H16" s="28"/>
      <c r="I16" s="18"/>
      <c r="J16" s="29"/>
      <c r="K16" s="27"/>
      <c r="L16" s="28"/>
      <c r="M16" s="18"/>
      <c r="N16" s="26" t="s">
        <v>2</v>
      </c>
      <c r="O16" s="30"/>
      <c r="P16" s="31"/>
      <c r="Q16" s="40"/>
      <c r="R16" s="42"/>
      <c r="S16" s="40"/>
      <c r="T16" s="10"/>
      <c r="U16" s="10"/>
      <c r="V16" s="25"/>
    </row>
    <row r="17" spans="1:22" x14ac:dyDescent="0.2">
      <c r="A17" t="s">
        <v>21</v>
      </c>
      <c r="B17" s="26"/>
      <c r="C17" s="27"/>
      <c r="D17" s="28"/>
      <c r="E17" s="18"/>
      <c r="F17" s="29"/>
      <c r="G17" s="27"/>
      <c r="H17" s="28"/>
      <c r="I17" s="18"/>
      <c r="J17" s="29"/>
      <c r="K17" s="27"/>
      <c r="L17" s="28"/>
      <c r="M17" s="18"/>
      <c r="N17" s="26" t="s">
        <v>2</v>
      </c>
      <c r="O17" s="30"/>
      <c r="P17" s="31"/>
      <c r="Q17" s="40" t="s">
        <v>2</v>
      </c>
      <c r="R17" s="42"/>
      <c r="S17" s="40" t="s">
        <v>2</v>
      </c>
      <c r="T17" s="44"/>
      <c r="U17" s="10"/>
      <c r="V17" s="25"/>
    </row>
    <row r="18" spans="1:22" ht="13.5" thickBot="1" x14ac:dyDescent="0.25">
      <c r="A18" t="s">
        <v>22</v>
      </c>
      <c r="B18" s="36"/>
      <c r="C18" s="34"/>
      <c r="D18" s="35"/>
      <c r="E18" s="45"/>
      <c r="F18" s="36"/>
      <c r="G18" s="34"/>
      <c r="H18" s="35"/>
      <c r="I18" s="45"/>
      <c r="J18" s="36"/>
      <c r="K18" s="34"/>
      <c r="L18" s="35"/>
      <c r="M18" s="45"/>
      <c r="N18" s="33" t="s">
        <v>2</v>
      </c>
      <c r="O18" s="46"/>
      <c r="P18" s="38"/>
      <c r="Q18" s="42"/>
      <c r="R18" s="42"/>
      <c r="S18" s="40" t="s">
        <v>2</v>
      </c>
      <c r="T18" s="44"/>
      <c r="U18" s="10"/>
    </row>
    <row r="19" spans="1:22" x14ac:dyDescent="0.2">
      <c r="B19" s="47"/>
      <c r="C19" s="47"/>
      <c r="D19" s="47"/>
      <c r="E19" s="23"/>
      <c r="F19" s="47"/>
      <c r="G19" s="47"/>
      <c r="H19" s="47"/>
      <c r="I19" s="23"/>
      <c r="J19" s="47"/>
      <c r="K19" s="47"/>
      <c r="L19" s="47"/>
      <c r="M19" s="23"/>
      <c r="N19" s="47"/>
      <c r="O19" s="47"/>
      <c r="P19" s="47"/>
      <c r="Q19" s="48"/>
      <c r="R19" s="23"/>
      <c r="S19" s="48"/>
      <c r="T19" s="44"/>
      <c r="U19" s="10"/>
    </row>
    <row r="20" spans="1:22" x14ac:dyDescent="0.2">
      <c r="A20" s="32" t="s">
        <v>23</v>
      </c>
      <c r="B20" s="49">
        <f>SUM(B7:B19)</f>
        <v>32500.019999999997</v>
      </c>
      <c r="C20" s="49">
        <f>SUM(C7:C19)</f>
        <v>46346.46</v>
      </c>
      <c r="D20" s="49">
        <f>SUM(D7:D19)</f>
        <v>29575</v>
      </c>
      <c r="E20" s="50"/>
      <c r="F20" s="49">
        <f>SUM(F7:F19)</f>
        <v>40024.980000000003</v>
      </c>
      <c r="G20" s="49">
        <f>SUM(G7:G19)</f>
        <v>53325.72</v>
      </c>
      <c r="H20" s="49">
        <f>SUM(H7:H19)</f>
        <v>45171</v>
      </c>
      <c r="I20" s="50"/>
      <c r="J20" s="49">
        <f>SUM(J7:J19)</f>
        <v>32993.519999999997</v>
      </c>
      <c r="K20" s="49">
        <f>SUM(K7:K19)</f>
        <v>39903.339999999997</v>
      </c>
      <c r="L20" s="49">
        <f>SUM(L7:L19)</f>
        <v>27076</v>
      </c>
      <c r="M20" s="50"/>
      <c r="N20" s="51">
        <f>SUM(N7:N19)</f>
        <v>0</v>
      </c>
      <c r="O20" s="51">
        <f>SUM(O7:O19)</f>
        <v>5850.41</v>
      </c>
      <c r="P20" s="48">
        <f>SUM(P7:P19)</f>
        <v>0</v>
      </c>
      <c r="Q20" s="48" t="s">
        <v>2</v>
      </c>
      <c r="S20" s="48" t="s">
        <v>2</v>
      </c>
      <c r="T20" s="18"/>
      <c r="U20" s="10"/>
    </row>
    <row r="21" spans="1:22" x14ac:dyDescent="0.2">
      <c r="B21" s="52"/>
      <c r="C21" s="53"/>
      <c r="D21" s="54"/>
      <c r="E21" s="52"/>
      <c r="F21" s="52"/>
      <c r="G21" s="55"/>
      <c r="H21" s="54"/>
      <c r="I21" s="54"/>
      <c r="J21" s="54"/>
      <c r="K21" s="53"/>
      <c r="L21" s="54"/>
      <c r="M21" s="52"/>
      <c r="N21" s="52"/>
      <c r="O21" s="53"/>
      <c r="P21" s="54"/>
      <c r="Q21" s="52"/>
      <c r="S21" s="52"/>
      <c r="T21" s="44"/>
      <c r="U21" s="10"/>
    </row>
    <row r="22" spans="1:22" ht="13.5" thickBot="1" x14ac:dyDescent="0.25">
      <c r="C22" s="54"/>
      <c r="D22" s="25"/>
      <c r="T22" s="10"/>
      <c r="U22" s="10"/>
    </row>
    <row r="23" spans="1:22" ht="12.75" customHeight="1" x14ac:dyDescent="0.2">
      <c r="A23" s="1"/>
      <c r="B23" s="2" t="s">
        <v>0</v>
      </c>
      <c r="C23" s="2"/>
      <c r="D23" s="2"/>
      <c r="F23" s="2" t="s">
        <v>0</v>
      </c>
      <c r="G23" s="2"/>
      <c r="H23" s="2"/>
      <c r="J23" s="2" t="s">
        <v>0</v>
      </c>
      <c r="K23" s="2"/>
      <c r="L23" s="2"/>
      <c r="N23" s="56" t="s">
        <v>24</v>
      </c>
      <c r="O23" s="57"/>
      <c r="P23" s="57"/>
      <c r="Q23" s="58"/>
      <c r="T23" s="10"/>
      <c r="U23" s="10"/>
    </row>
    <row r="24" spans="1:22" ht="13.5" customHeight="1" thickBot="1" x14ac:dyDescent="0.25">
      <c r="A24" s="1"/>
      <c r="B24" s="2"/>
      <c r="C24" s="2"/>
      <c r="D24" s="2"/>
      <c r="F24" s="2"/>
      <c r="G24" s="2"/>
      <c r="H24" s="2"/>
      <c r="J24" s="2"/>
      <c r="K24" s="2"/>
      <c r="L24" s="2"/>
      <c r="N24" s="59"/>
      <c r="O24" s="60"/>
      <c r="P24" s="60"/>
      <c r="Q24" s="61"/>
    </row>
    <row r="25" spans="1:22" ht="89.25" customHeight="1" x14ac:dyDescent="0.2">
      <c r="A25" s="3" t="s">
        <v>2</v>
      </c>
      <c r="B25" s="5" t="s">
        <v>3</v>
      </c>
      <c r="C25" s="6" t="s">
        <v>4</v>
      </c>
      <c r="D25" s="6" t="s">
        <v>5</v>
      </c>
      <c r="E25" s="6"/>
      <c r="F25" s="5" t="s">
        <v>3</v>
      </c>
      <c r="G25" s="6" t="s">
        <v>4</v>
      </c>
      <c r="H25" s="6" t="s">
        <v>5</v>
      </c>
      <c r="I25" s="6"/>
      <c r="J25" s="5" t="s">
        <v>3</v>
      </c>
      <c r="K25" s="6" t="s">
        <v>4</v>
      </c>
      <c r="L25" s="6" t="s">
        <v>5</v>
      </c>
      <c r="M25" s="6"/>
      <c r="N25" s="62"/>
      <c r="O25" s="63" t="s">
        <v>25</v>
      </c>
      <c r="P25" s="64" t="s">
        <v>4</v>
      </c>
      <c r="Q25" s="65" t="s">
        <v>5</v>
      </c>
    </row>
    <row r="26" spans="1:22" x14ac:dyDescent="0.2">
      <c r="A26" s="3"/>
      <c r="B26" s="5"/>
      <c r="C26" s="6"/>
      <c r="D26" s="6"/>
      <c r="E26" s="6"/>
      <c r="F26" s="5"/>
      <c r="G26" s="6"/>
      <c r="H26" s="6"/>
      <c r="I26" s="6"/>
      <c r="J26" s="5"/>
      <c r="K26" s="6"/>
      <c r="L26" s="6"/>
      <c r="M26" s="6"/>
      <c r="N26" s="66"/>
      <c r="O26" s="67"/>
      <c r="P26" s="67"/>
      <c r="Q26" s="68"/>
    </row>
    <row r="27" spans="1:22" ht="15.75" x14ac:dyDescent="0.25">
      <c r="A27" s="3"/>
      <c r="B27" s="7" t="s">
        <v>26</v>
      </c>
      <c r="C27" s="7"/>
      <c r="D27" s="7"/>
      <c r="E27" s="8"/>
      <c r="F27" s="7" t="s">
        <v>27</v>
      </c>
      <c r="G27" s="7"/>
      <c r="H27" s="7"/>
      <c r="I27" s="8"/>
      <c r="J27" s="7" t="s">
        <v>28</v>
      </c>
      <c r="K27" s="7"/>
      <c r="L27" s="7"/>
      <c r="M27" s="8"/>
      <c r="N27" s="66"/>
      <c r="O27" s="12"/>
      <c r="P27" s="12"/>
      <c r="Q27" s="68"/>
    </row>
    <row r="28" spans="1:22" ht="13.5" thickBot="1" x14ac:dyDescent="0.25">
      <c r="B28" s="11" t="s">
        <v>29</v>
      </c>
      <c r="C28" s="11"/>
      <c r="D28" s="11"/>
      <c r="E28" s="12"/>
      <c r="F28" s="69" t="s">
        <v>30</v>
      </c>
      <c r="G28" s="11"/>
      <c r="H28" s="11"/>
      <c r="I28" s="12"/>
      <c r="J28" s="69" t="s">
        <v>31</v>
      </c>
      <c r="K28" s="11"/>
      <c r="L28" s="11"/>
      <c r="M28" s="67"/>
      <c r="N28" s="66" t="s">
        <v>2</v>
      </c>
      <c r="O28" s="12"/>
      <c r="P28" s="12"/>
      <c r="Q28" s="68"/>
    </row>
    <row r="29" spans="1:22" x14ac:dyDescent="0.2">
      <c r="A29" t="s">
        <v>11</v>
      </c>
      <c r="B29" s="19">
        <v>5333.33</v>
      </c>
      <c r="C29" s="16">
        <f>5333.33+2990.16</f>
        <v>8323.49</v>
      </c>
      <c r="D29" s="17">
        <v>6874</v>
      </c>
      <c r="E29" s="18"/>
      <c r="F29" s="15"/>
      <c r="G29" s="16"/>
      <c r="H29" s="17"/>
      <c r="I29" s="18"/>
      <c r="J29" s="19"/>
      <c r="K29" s="16"/>
      <c r="L29" s="17"/>
      <c r="M29" s="70"/>
      <c r="N29" s="66" t="s">
        <v>11</v>
      </c>
      <c r="O29" s="71">
        <f t="shared" ref="O29:O34" si="0">B7+F7+J7+B29</f>
        <v>22919.75</v>
      </c>
      <c r="P29" s="72">
        <f t="shared" ref="P29:Q40" si="1">C7+G7+K7+C29+O7+G29+K29</f>
        <v>29382.38</v>
      </c>
      <c r="Q29" s="73">
        <f t="shared" si="1"/>
        <v>20755</v>
      </c>
    </row>
    <row r="30" spans="1:22" x14ac:dyDescent="0.2">
      <c r="A30" t="s">
        <v>12</v>
      </c>
      <c r="B30" s="29">
        <v>5333.33</v>
      </c>
      <c r="C30" s="27">
        <f>5333.33+3256.2</f>
        <v>8589.5299999999988</v>
      </c>
      <c r="D30" s="28">
        <f>8536.5-1830.5</f>
        <v>6706</v>
      </c>
      <c r="E30" s="18"/>
      <c r="F30" s="26"/>
      <c r="G30" s="27"/>
      <c r="H30" s="28"/>
      <c r="I30" s="18"/>
      <c r="J30" s="29"/>
      <c r="K30" s="27"/>
      <c r="L30" s="28"/>
      <c r="M30" s="70"/>
      <c r="N30" s="66" t="s">
        <v>12</v>
      </c>
      <c r="O30" s="74">
        <f t="shared" si="0"/>
        <v>22919.75</v>
      </c>
      <c r="P30" s="75">
        <f t="shared" si="1"/>
        <v>28592.609999999997</v>
      </c>
      <c r="Q30" s="76">
        <f t="shared" si="1"/>
        <v>21203</v>
      </c>
    </row>
    <row r="31" spans="1:22" x14ac:dyDescent="0.2">
      <c r="A31" t="s">
        <v>13</v>
      </c>
      <c r="B31" s="29">
        <v>5333.33</v>
      </c>
      <c r="C31" s="27">
        <f>5333.33+4299.78</f>
        <v>9633.11</v>
      </c>
      <c r="D31" s="28">
        <v>8221.5</v>
      </c>
      <c r="E31" s="18"/>
      <c r="F31" s="26"/>
      <c r="G31" s="27"/>
      <c r="H31" s="28"/>
      <c r="I31" s="18"/>
      <c r="J31" s="29"/>
      <c r="K31" s="27"/>
      <c r="L31" s="28"/>
      <c r="M31" s="70"/>
      <c r="N31" s="66" t="s">
        <v>13</v>
      </c>
      <c r="O31" s="74">
        <f t="shared" si="0"/>
        <v>22919.75</v>
      </c>
      <c r="P31" s="75">
        <f t="shared" si="1"/>
        <v>36142.550000000003</v>
      </c>
      <c r="Q31" s="76">
        <f t="shared" si="1"/>
        <v>25368</v>
      </c>
      <c r="S31" s="52"/>
    </row>
    <row r="32" spans="1:22" x14ac:dyDescent="0.2">
      <c r="A32" t="s">
        <v>14</v>
      </c>
      <c r="B32" s="29">
        <v>5333.33</v>
      </c>
      <c r="C32" s="27">
        <f>5333.33+3833.33</f>
        <v>9166.66</v>
      </c>
      <c r="D32" s="28">
        <v>7070</v>
      </c>
      <c r="E32" s="18"/>
      <c r="F32" s="26"/>
      <c r="G32" s="27"/>
      <c r="H32" s="28"/>
      <c r="I32" s="18"/>
      <c r="J32" s="29"/>
      <c r="K32" s="27"/>
      <c r="L32" s="28"/>
      <c r="M32" s="70"/>
      <c r="N32" s="66" t="s">
        <v>14</v>
      </c>
      <c r="O32" s="74">
        <f t="shared" si="0"/>
        <v>22919.75</v>
      </c>
      <c r="P32" s="75">
        <f t="shared" si="1"/>
        <v>34351.899999999994</v>
      </c>
      <c r="Q32" s="76">
        <f t="shared" si="1"/>
        <v>24990</v>
      </c>
      <c r="S32" s="77"/>
    </row>
    <row r="33" spans="1:19" x14ac:dyDescent="0.2">
      <c r="A33" t="s">
        <v>15</v>
      </c>
      <c r="B33" s="29">
        <v>5333.33</v>
      </c>
      <c r="C33" s="27">
        <f>5333.33+7000.52</f>
        <v>12333.85</v>
      </c>
      <c r="D33" s="28">
        <v>9460.5</v>
      </c>
      <c r="E33" s="18"/>
      <c r="F33" s="26"/>
      <c r="G33" s="27"/>
      <c r="H33" s="28"/>
      <c r="I33" s="18"/>
      <c r="J33" s="29"/>
      <c r="K33" s="27"/>
      <c r="L33" s="28"/>
      <c r="M33" s="70"/>
      <c r="N33" s="66" t="s">
        <v>15</v>
      </c>
      <c r="O33" s="74">
        <f t="shared" si="0"/>
        <v>22919.75</v>
      </c>
      <c r="P33" s="75">
        <f t="shared" si="1"/>
        <v>38424.06</v>
      </c>
      <c r="Q33" s="76">
        <f t="shared" si="1"/>
        <v>28472.5</v>
      </c>
      <c r="S33" s="77"/>
    </row>
    <row r="34" spans="1:19" ht="13.5" thickBot="1" x14ac:dyDescent="0.25">
      <c r="A34" t="s">
        <v>16</v>
      </c>
      <c r="B34" s="36">
        <v>5333.33</v>
      </c>
      <c r="C34" s="34">
        <f>5333.33+4957.94</f>
        <v>10291.27</v>
      </c>
      <c r="D34" s="35">
        <v>8277.5</v>
      </c>
      <c r="E34" s="18"/>
      <c r="F34" s="33"/>
      <c r="G34" s="34"/>
      <c r="H34" s="35"/>
      <c r="I34" s="18"/>
      <c r="J34" s="36"/>
      <c r="K34" s="34"/>
      <c r="L34" s="35"/>
      <c r="M34" s="70"/>
      <c r="N34" s="66" t="s">
        <v>16</v>
      </c>
      <c r="O34" s="74">
        <f t="shared" si="0"/>
        <v>22919.75</v>
      </c>
      <c r="P34" s="75">
        <f t="shared" si="1"/>
        <v>36870.340000000004</v>
      </c>
      <c r="Q34" s="76">
        <f t="shared" si="1"/>
        <v>27643</v>
      </c>
      <c r="S34" s="23"/>
    </row>
    <row r="35" spans="1:19" x14ac:dyDescent="0.2">
      <c r="A35" t="s">
        <v>17</v>
      </c>
      <c r="B35" s="29">
        <v>6756.41</v>
      </c>
      <c r="C35" s="27">
        <f>6756.41+3420.41</f>
        <v>10176.82</v>
      </c>
      <c r="D35" s="28">
        <v>6303.5</v>
      </c>
      <c r="E35" s="18"/>
      <c r="F35" s="26">
        <v>9601.75</v>
      </c>
      <c r="G35" s="27">
        <f>9601.75+1505.7</f>
        <v>11107.45</v>
      </c>
      <c r="H35" s="28">
        <v>6618.5</v>
      </c>
      <c r="I35" s="18"/>
      <c r="J35" s="29">
        <v>14549.17</v>
      </c>
      <c r="K35" s="27">
        <f>14549.17+6242.53</f>
        <v>20791.7</v>
      </c>
      <c r="L35" s="28">
        <v>15830.5</v>
      </c>
      <c r="M35" s="70"/>
      <c r="N35" s="66" t="s">
        <v>17</v>
      </c>
      <c r="O35" s="74">
        <f t="shared" ref="O35:O40" si="2">B13+F13+F35+J13+J35+B35</f>
        <v>30907.329999999998</v>
      </c>
      <c r="P35" s="75">
        <f t="shared" si="1"/>
        <v>42075.97</v>
      </c>
      <c r="Q35" s="76">
        <f t="shared" si="1"/>
        <v>28752.5</v>
      </c>
    </row>
    <row r="36" spans="1:19" x14ac:dyDescent="0.2">
      <c r="A36" t="s">
        <v>18</v>
      </c>
      <c r="B36" s="29">
        <v>6756.41</v>
      </c>
      <c r="C36" s="27">
        <f>6756.41+2235.58</f>
        <v>8991.99</v>
      </c>
      <c r="D36" s="28">
        <v>5939.5</v>
      </c>
      <c r="E36" s="18"/>
      <c r="F36" s="26">
        <v>9601.75</v>
      </c>
      <c r="G36" s="27">
        <f>9601.75+1985.86</f>
        <v>11587.61</v>
      </c>
      <c r="H36" s="28">
        <v>6531</v>
      </c>
      <c r="I36" s="18"/>
      <c r="J36" s="29">
        <v>14549.17</v>
      </c>
      <c r="K36" s="27">
        <f>14549.17+5481.68</f>
        <v>20030.849999999999</v>
      </c>
      <c r="L36" s="28">
        <v>16121</v>
      </c>
      <c r="M36" s="70"/>
      <c r="N36" s="66" t="s">
        <v>18</v>
      </c>
      <c r="O36" s="74">
        <f t="shared" si="2"/>
        <v>30907.329999999998</v>
      </c>
      <c r="P36" s="75">
        <f t="shared" si="1"/>
        <v>40610.449999999997</v>
      </c>
      <c r="Q36" s="76">
        <f t="shared" si="1"/>
        <v>28591.5</v>
      </c>
    </row>
    <row r="37" spans="1:19" x14ac:dyDescent="0.2">
      <c r="A37" t="s">
        <v>19</v>
      </c>
      <c r="B37" s="29">
        <v>6756.41</v>
      </c>
      <c r="C37" s="27">
        <f>6756.41+573.12</f>
        <v>7329.53</v>
      </c>
      <c r="D37" s="28">
        <v>4557</v>
      </c>
      <c r="E37" s="18"/>
      <c r="F37" s="26">
        <v>9601.75</v>
      </c>
      <c r="G37" s="27">
        <v>9601.75</v>
      </c>
      <c r="H37" s="28">
        <v>5712</v>
      </c>
      <c r="I37" s="18"/>
      <c r="J37" s="29">
        <v>14549.17</v>
      </c>
      <c r="K37" s="27">
        <f>14549.17+1360.6</f>
        <v>15909.77</v>
      </c>
      <c r="L37" s="28">
        <v>11662</v>
      </c>
      <c r="M37" s="70"/>
      <c r="N37" s="66" t="s">
        <v>19</v>
      </c>
      <c r="O37" s="74">
        <f t="shared" si="2"/>
        <v>30907.329999999998</v>
      </c>
      <c r="P37" s="75">
        <f t="shared" si="1"/>
        <v>32841.050000000003</v>
      </c>
      <c r="Q37" s="76">
        <f t="shared" si="1"/>
        <v>21931</v>
      </c>
    </row>
    <row r="38" spans="1:19" x14ac:dyDescent="0.2">
      <c r="A38" t="s">
        <v>20</v>
      </c>
      <c r="B38" s="29">
        <v>6756.41</v>
      </c>
      <c r="C38" s="27">
        <f>6756.41+1779.25</f>
        <v>8535.66</v>
      </c>
      <c r="D38" s="28">
        <v>5561.5</v>
      </c>
      <c r="E38" s="18"/>
      <c r="F38" s="26">
        <v>9601.75</v>
      </c>
      <c r="G38" s="27">
        <v>9601.75</v>
      </c>
      <c r="H38" s="28">
        <v>6954.5</v>
      </c>
      <c r="I38" s="18"/>
      <c r="J38" s="29">
        <v>14549.17</v>
      </c>
      <c r="K38" s="27">
        <f>14549.17+980.23</f>
        <v>15529.4</v>
      </c>
      <c r="L38" s="28">
        <v>12204.5</v>
      </c>
      <c r="M38" s="70"/>
      <c r="N38" s="66" t="s">
        <v>20</v>
      </c>
      <c r="O38" s="74">
        <f t="shared" si="2"/>
        <v>30907.329999999998</v>
      </c>
      <c r="P38" s="75">
        <f t="shared" si="1"/>
        <v>33666.81</v>
      </c>
      <c r="Q38" s="76">
        <f t="shared" si="1"/>
        <v>24720.5</v>
      </c>
      <c r="S38" s="52"/>
    </row>
    <row r="39" spans="1:19" x14ac:dyDescent="0.2">
      <c r="A39" t="s">
        <v>21</v>
      </c>
      <c r="B39" s="29">
        <v>6756.41</v>
      </c>
      <c r="C39" s="27">
        <v>6756.41</v>
      </c>
      <c r="D39" s="28">
        <v>4403</v>
      </c>
      <c r="E39" s="18"/>
      <c r="F39" s="26">
        <v>9601.75</v>
      </c>
      <c r="G39" s="27">
        <v>9601.75</v>
      </c>
      <c r="H39" s="28">
        <v>5995.5</v>
      </c>
      <c r="I39" s="18"/>
      <c r="J39" s="29">
        <v>14549.17</v>
      </c>
      <c r="K39" s="27">
        <v>14549.17</v>
      </c>
      <c r="L39" s="28">
        <v>9418.5</v>
      </c>
      <c r="M39" s="70"/>
      <c r="N39" s="66" t="s">
        <v>21</v>
      </c>
      <c r="O39" s="74">
        <f t="shared" si="2"/>
        <v>30907.329999999998</v>
      </c>
      <c r="P39" s="75">
        <f t="shared" si="1"/>
        <v>30907.33</v>
      </c>
      <c r="Q39" s="76">
        <f t="shared" si="1"/>
        <v>19817</v>
      </c>
    </row>
    <row r="40" spans="1:19" ht="13.5" thickBot="1" x14ac:dyDescent="0.25">
      <c r="A40" t="s">
        <v>22</v>
      </c>
      <c r="B40" s="36">
        <v>6756.41</v>
      </c>
      <c r="C40" s="34">
        <v>6756.41</v>
      </c>
      <c r="D40" s="35">
        <v>3934</v>
      </c>
      <c r="E40" s="78"/>
      <c r="F40" s="36">
        <v>9601.75</v>
      </c>
      <c r="G40" s="34">
        <v>9601.75</v>
      </c>
      <c r="H40" s="35">
        <v>5208</v>
      </c>
      <c r="I40" s="18"/>
      <c r="J40" s="36">
        <v>14549.17</v>
      </c>
      <c r="K40" s="34">
        <v>14549.17</v>
      </c>
      <c r="L40" s="35">
        <v>8886.5</v>
      </c>
      <c r="M40" s="70"/>
      <c r="N40" s="66" t="s">
        <v>22</v>
      </c>
      <c r="O40" s="74">
        <f t="shared" si="2"/>
        <v>30907.329999999998</v>
      </c>
      <c r="P40" s="79">
        <f t="shared" si="1"/>
        <v>30907.33</v>
      </c>
      <c r="Q40" s="80">
        <f t="shared" si="1"/>
        <v>18028.5</v>
      </c>
    </row>
    <row r="41" spans="1:19" x14ac:dyDescent="0.2">
      <c r="B41" s="47"/>
      <c r="C41" s="81"/>
      <c r="D41" s="81"/>
      <c r="E41" s="52"/>
      <c r="F41" s="47"/>
      <c r="G41" s="47"/>
      <c r="H41" s="47"/>
      <c r="I41" s="52"/>
      <c r="J41" s="47"/>
      <c r="K41" s="47"/>
      <c r="L41" s="47"/>
      <c r="M41" s="52"/>
      <c r="N41" s="66"/>
      <c r="O41" s="82">
        <f>SUM(O29:O40)</f>
        <v>322962.48</v>
      </c>
      <c r="P41" s="83">
        <f>SUM(P29:P40)</f>
        <v>414772.78</v>
      </c>
      <c r="Q41" s="84">
        <f>SUM(Q29:Q40)</f>
        <v>290272.5</v>
      </c>
    </row>
    <row r="42" spans="1:19" ht="13.5" thickBot="1" x14ac:dyDescent="0.25">
      <c r="A42" s="32" t="s">
        <v>23</v>
      </c>
      <c r="B42" s="49">
        <f>SUM(B29:B41)</f>
        <v>72538.440000000017</v>
      </c>
      <c r="C42" s="49">
        <f>SUM(C29:C41)</f>
        <v>106884.73</v>
      </c>
      <c r="D42" s="49">
        <f>SUM(D29:D41)</f>
        <v>77308</v>
      </c>
      <c r="E42" s="52"/>
      <c r="F42" s="49">
        <f>SUM(F29:F41)</f>
        <v>57610.5</v>
      </c>
      <c r="G42" s="49">
        <f>SUM(G29:G41)</f>
        <v>61102.06</v>
      </c>
      <c r="H42" s="49">
        <f>SUM(H29:H41)</f>
        <v>37019.5</v>
      </c>
      <c r="I42" s="52"/>
      <c r="J42" s="49">
        <f>SUM(J29:J41)</f>
        <v>87295.02</v>
      </c>
      <c r="K42" s="49">
        <f>SUM(K29:K41)</f>
        <v>101360.06</v>
      </c>
      <c r="L42" s="49">
        <f>SUM(L29:L41)</f>
        <v>74123</v>
      </c>
      <c r="M42" s="52"/>
      <c r="N42" s="85"/>
      <c r="O42" s="86"/>
      <c r="P42" s="87"/>
      <c r="Q42" s="88"/>
    </row>
    <row r="43" spans="1:19" x14ac:dyDescent="0.2">
      <c r="C43" s="53"/>
      <c r="G43" s="89"/>
    </row>
    <row r="44" spans="1:19" x14ac:dyDescent="0.2">
      <c r="A44" s="32" t="s">
        <v>32</v>
      </c>
    </row>
    <row r="45" spans="1:19" x14ac:dyDescent="0.2">
      <c r="A45" s="32" t="s">
        <v>33</v>
      </c>
    </row>
    <row r="46" spans="1:19" x14ac:dyDescent="0.2">
      <c r="A46" s="32" t="s">
        <v>34</v>
      </c>
    </row>
    <row r="47" spans="1:19" x14ac:dyDescent="0.2">
      <c r="A47" s="32" t="s">
        <v>35</v>
      </c>
    </row>
    <row r="48" spans="1:19" x14ac:dyDescent="0.2">
      <c r="A48" s="32" t="s">
        <v>36</v>
      </c>
    </row>
    <row r="49" spans="1:1" x14ac:dyDescent="0.2">
      <c r="A49" s="32" t="s">
        <v>37</v>
      </c>
    </row>
    <row r="50" spans="1:1" x14ac:dyDescent="0.2">
      <c r="A50" s="32" t="s">
        <v>38</v>
      </c>
    </row>
  </sheetData>
  <mergeCells count="24">
    <mergeCell ref="B27:D27"/>
    <mergeCell ref="F27:H27"/>
    <mergeCell ref="J27:L27"/>
    <mergeCell ref="B28:D28"/>
    <mergeCell ref="F28:H28"/>
    <mergeCell ref="J28:L28"/>
    <mergeCell ref="B6:D6"/>
    <mergeCell ref="F6:H6"/>
    <mergeCell ref="J6:L6"/>
    <mergeCell ref="N6:P6"/>
    <mergeCell ref="A23:A24"/>
    <mergeCell ref="B23:D24"/>
    <mergeCell ref="F23:H24"/>
    <mergeCell ref="J23:L24"/>
    <mergeCell ref="N23:Q24"/>
    <mergeCell ref="A1:A2"/>
    <mergeCell ref="B1:D2"/>
    <mergeCell ref="F1:H2"/>
    <mergeCell ref="J1:L2"/>
    <mergeCell ref="N1:P2"/>
    <mergeCell ref="B5:D5"/>
    <mergeCell ref="F5:H5"/>
    <mergeCell ref="J5:L5"/>
    <mergeCell ref="N5:P5"/>
  </mergeCells>
  <printOptions horizontalCentered="1"/>
  <pageMargins left="0.16" right="0.16" top="0.57999999999999996" bottom="0.28000000000000003" header="0.17" footer="0.16"/>
  <pageSetup scale="70" orientation="landscape" r:id="rId1"/>
  <headerFooter alignWithMargins="0">
    <oddHeader>&amp;C&amp;"Arial,Bold"&amp;12EMAA 
2015 Car Rental Revenue Report</oddHeader>
    <oddFooter>&amp;L&amp;D   &amp;T&amp;CPrepared by:  Sheilah Bruno - CFO&amp;R&amp;8&amp;Z&amp;F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</vt:lpstr>
      <vt:lpstr>'2015'!Print_Area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Sheilah Bruno</dc:creator>
  <cp:lastModifiedBy>Sheilah Bruno</cp:lastModifiedBy>
  <dcterms:created xsi:type="dcterms:W3CDTF">2016-01-12T17:21:42Z</dcterms:created>
  <dcterms:modified xsi:type="dcterms:W3CDTF">2016-01-12T17:22:14Z</dcterms:modified>
</cp:coreProperties>
</file>