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3" sheetId="1" r:id="rId1"/>
  </sheets>
  <definedNames>
    <definedName name="_xlnm.Print_Area" localSheetId="0">'2013'!$A$1:$R$43</definedName>
  </definedNames>
  <calcPr calcId="145621"/>
</workbook>
</file>

<file path=xl/calcChain.xml><?xml version="1.0" encoding="utf-8"?>
<calcChain xmlns="http://schemas.openxmlformats.org/spreadsheetml/2006/main">
  <c r="D42" i="1" l="1"/>
  <c r="C42" i="1"/>
  <c r="B42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Q41" i="1" s="1"/>
  <c r="O29" i="1"/>
  <c r="O41" i="1" s="1"/>
  <c r="P20" i="1"/>
  <c r="O20" i="1"/>
  <c r="N20" i="1"/>
  <c r="L20" i="1"/>
  <c r="J20" i="1"/>
  <c r="H20" i="1"/>
  <c r="F20" i="1"/>
  <c r="D20" i="1"/>
  <c r="B20" i="1"/>
  <c r="O18" i="1"/>
  <c r="K18" i="1"/>
  <c r="P40" i="1" s="1"/>
  <c r="G18" i="1"/>
  <c r="C18" i="1"/>
  <c r="O17" i="1"/>
  <c r="K17" i="1"/>
  <c r="P39" i="1" s="1"/>
  <c r="G17" i="1"/>
  <c r="C17" i="1"/>
  <c r="O16" i="1"/>
  <c r="K16" i="1"/>
  <c r="G16" i="1"/>
  <c r="C16" i="1"/>
  <c r="P38" i="1" s="1"/>
  <c r="O15" i="1"/>
  <c r="K15" i="1"/>
  <c r="G15" i="1"/>
  <c r="C15" i="1"/>
  <c r="P37" i="1" s="1"/>
  <c r="O14" i="1"/>
  <c r="K14" i="1"/>
  <c r="P36" i="1" s="1"/>
  <c r="G14" i="1"/>
  <c r="C14" i="1"/>
  <c r="O13" i="1"/>
  <c r="K13" i="1"/>
  <c r="P35" i="1" s="1"/>
  <c r="G13" i="1"/>
  <c r="C13" i="1"/>
  <c r="O12" i="1"/>
  <c r="K12" i="1"/>
  <c r="G12" i="1"/>
  <c r="C12" i="1"/>
  <c r="P34" i="1" s="1"/>
  <c r="O11" i="1"/>
  <c r="K11" i="1"/>
  <c r="G11" i="1"/>
  <c r="C11" i="1"/>
  <c r="P33" i="1" s="1"/>
  <c r="O10" i="1"/>
  <c r="K10" i="1"/>
  <c r="K20" i="1" s="1"/>
  <c r="G10" i="1"/>
  <c r="C10" i="1"/>
  <c r="O9" i="1"/>
  <c r="G9" i="1"/>
  <c r="P31" i="1" s="1"/>
  <c r="C9" i="1"/>
  <c r="O8" i="1"/>
  <c r="G8" i="1"/>
  <c r="C8" i="1"/>
  <c r="P30" i="1" s="1"/>
  <c r="O7" i="1"/>
  <c r="G7" i="1"/>
  <c r="G20" i="1" s="1"/>
  <c r="C7" i="1"/>
  <c r="P29" i="1" s="1"/>
  <c r="P32" i="1" l="1"/>
  <c r="P41" i="1" s="1"/>
  <c r="C20" i="1"/>
</calcChain>
</file>

<file path=xl/comments1.xml><?xml version="1.0" encoding="utf-8"?>
<comments xmlns="http://schemas.openxmlformats.org/spreadsheetml/2006/main">
  <authors>
    <author>sbruno</author>
    <author>Sheilah Bruno</author>
    <author>Erie Municipal Airport Authority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Receipts:
$33,006.14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Gross Revenue
$50,330.35</t>
        </r>
      </text>
    </comment>
    <comment ref="K9" authorId="1">
      <text>
        <r>
          <rPr>
            <b/>
            <sz val="9"/>
            <color indexed="81"/>
            <rFont val="Tahoma"/>
            <family val="2"/>
          </rPr>
          <t>Gross Revenue
$51,784.13</t>
        </r>
      </text>
    </comment>
    <comment ref="P41" authorId="2">
      <text>
        <r>
          <rPr>
            <b/>
            <sz val="8"/>
            <color indexed="81"/>
            <rFont val="Tahoma"/>
            <family val="2"/>
          </rPr>
          <t>Acct #34105
Total does not include
$4,596.80 YE 6.30.13 audit result
$4.99 YE 2013 audit correction</t>
        </r>
      </text>
    </comment>
    <comment ref="Q41" authorId="2">
      <text>
        <r>
          <rPr>
            <b/>
            <sz val="8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<sst xmlns="http://schemas.openxmlformats.org/spreadsheetml/2006/main" count="95" uniqueCount="34">
  <si>
    <t>On Airport: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</si>
  <si>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</si>
  <si>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</si>
  <si>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0"/>
        <rFont val="Arial"/>
      </rPr>
      <t xml:space="preserve"> 10% of Gross Revenue Over Guarantee</t>
    </r>
  </si>
  <si>
    <t>Customer Facility Charge (CFC)</t>
  </si>
  <si>
    <t>AVIS</t>
  </si>
  <si>
    <t>NATIONAL/ALAMO (Arelco)</t>
  </si>
  <si>
    <t>ENTERPRISE</t>
  </si>
  <si>
    <t>HERTZ</t>
  </si>
  <si>
    <t>(Nat Corp)</t>
  </si>
  <si>
    <t>(JR &amp; L Industries)Johnstown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</si>
  <si>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</si>
  <si>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</si>
  <si>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</si>
  <si>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</si>
  <si>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</si>
  <si>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</si>
  <si>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</si>
  <si>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</si>
  <si>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</si>
  <si>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</si>
  <si>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</si>
  <si>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</si>
  <si>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Off Airport:</t>
  </si>
  <si>
    <t>TOTAL YTD REVENUE</t>
  </si>
  <si>
    <t>Minimum Monthly Guarantee</t>
  </si>
  <si>
    <t>BUDGET</t>
  </si>
  <si>
    <t>NOTE #1: National and Alamo dual brand</t>
  </si>
  <si>
    <t xml:space="preserve">NOTE #2: Hertz moved on airport 4/1/04.  </t>
  </si>
  <si>
    <t xml:space="preserve">NOTE #3: Enterprise off airport location only. </t>
  </si>
  <si>
    <t>NOTE #4: Dollar on airport with Thrifty until move off airport 4/1/04.</t>
  </si>
  <si>
    <t>NOTE #5: Thrifty moved off airport 6/30/08.</t>
  </si>
  <si>
    <t>NOTE #6: Enterprise moved on airport 7/1/08.</t>
  </si>
  <si>
    <t>NOTE #7 Gross Revenue Over Guarantee excludes FYE audit adjustments. (if applicable).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</si>
</sst>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0" xfId="0" applyNumberFormat="1" applyFill="1" applyBorder="1"/>
    <xf numFmtId="44" fontId="0" fillId="0" borderId="2" xfId="0" applyNumberFormat="1" applyFill="1" applyBorder="1" applyAlignment="1">
      <alignment horizontal="center"/>
    </xf>
    <xf numFmtId="4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4" fontId="0" fillId="0" borderId="0" xfId="0" applyNumberFormat="1"/>
    <xf numFmtId="44" fontId="1" fillId="0" borderId="0" xfId="1" applyFill="1" applyBorder="1"/>
    <xf numFmtId="0" fontId="0" fillId="0" borderId="0" xfId="0" applyFill="1"/>
    <xf numFmtId="44" fontId="0" fillId="0" borderId="5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44" fontId="0" fillId="0" borderId="7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Fill="1"/>
    <xf numFmtId="44" fontId="1" fillId="0" borderId="0" xfId="1" applyBorder="1"/>
    <xf numFmtId="44" fontId="0" fillId="0" borderId="0" xfId="1" applyFont="1" applyBorder="1" applyAlignment="1">
      <alignment horizontal="center"/>
    </xf>
    <xf numFmtId="164" fontId="0" fillId="0" borderId="0" xfId="0" applyNumberFormat="1" applyFill="1" applyBorder="1"/>
    <xf numFmtId="44" fontId="0" fillId="0" borderId="9" xfId="0" applyNumberForma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44" fontId="5" fillId="0" borderId="0" xfId="0" applyNumberFormat="1" applyFont="1" applyFill="1"/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0" fillId="0" borderId="0" xfId="0" applyNumberFormat="1" applyFill="1" applyBorder="1" applyAlignment="1">
      <alignment horizontal="right"/>
    </xf>
    <xf numFmtId="164" fontId="4" fillId="4" borderId="5" xfId="0" applyNumberFormat="1" applyFont="1" applyFill="1" applyBorder="1"/>
    <xf numFmtId="164" fontId="4" fillId="4" borderId="0" xfId="0" applyNumberFormat="1" applyFont="1" applyFill="1" applyBorder="1"/>
    <xf numFmtId="164" fontId="4" fillId="4" borderId="6" xfId="0" applyNumberFormat="1" applyFont="1" applyFill="1" applyBorder="1"/>
    <xf numFmtId="44" fontId="0" fillId="0" borderId="6" xfId="0" applyNumberFormat="1" applyBorder="1" applyAlignment="1">
      <alignment horizontal="center"/>
    </xf>
    <xf numFmtId="44" fontId="1" fillId="0" borderId="0" xfId="1"/>
    <xf numFmtId="4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center"/>
    </xf>
    <xf numFmtId="44" fontId="0" fillId="0" borderId="5" xfId="0" applyNumberFormat="1" applyFill="1" applyBorder="1"/>
    <xf numFmtId="164" fontId="4" fillId="4" borderId="10" xfId="0" applyNumberFormat="1" applyFont="1" applyFill="1" applyBorder="1"/>
    <xf numFmtId="164" fontId="4" fillId="4" borderId="11" xfId="0" applyNumberFormat="1" applyFont="1" applyFill="1" applyBorder="1"/>
    <xf numFmtId="164" fontId="4" fillId="4" borderId="12" xfId="0" applyNumberFormat="1" applyFont="1" applyFill="1" applyBorder="1"/>
    <xf numFmtId="164" fontId="4" fillId="4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7" xfId="0" applyBorder="1"/>
    <xf numFmtId="164" fontId="4" fillId="4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6" fontId="1" fillId="0" borderId="0" xfId="1" applyNumberForma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workbookViewId="0">
      <selection sqref="A1:A2"/>
    </sheetView>
  </sheetViews>
  <sheetFormatPr defaultRowHeight="12.75" x14ac:dyDescent="0.2"/>
  <cols>
    <col min="1" max="1" width="14.7109375" customWidth="1"/>
    <col min="2" max="2" width="12.28515625" customWidth="1"/>
    <col min="3" max="3" width="12.7109375" customWidth="1"/>
    <col min="4" max="4" width="12.140625" customWidth="1"/>
    <col min="5" max="5" width="1.85546875" customWidth="1"/>
    <col min="6" max="6" width="11.5703125" customWidth="1"/>
    <col min="7" max="7" width="12.5703125" customWidth="1"/>
    <col min="8" max="8" width="12.42578125" customWidth="1"/>
    <col min="9" max="9" width="1.85546875" customWidth="1"/>
    <col min="10" max="10" width="11.42578125" customWidth="1"/>
    <col min="11" max="11" width="13.7109375" bestFit="1" customWidth="1"/>
    <col min="12" max="12" width="11.7109375" customWidth="1"/>
    <col min="13" max="13" width="1.85546875" customWidth="1"/>
    <col min="14" max="14" width="11.7109375" customWidth="1"/>
    <col min="15" max="17" width="12.7109375" customWidth="1"/>
    <col min="18" max="18" width="13.85546875" customWidth="1"/>
    <col min="19" max="19" width="12.7109375" customWidth="1"/>
    <col min="20" max="20" width="13" bestFit="1" customWidth="1"/>
  </cols>
  <sheetData>
    <row r="1" spans="1:2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"/>
    </row>
    <row r="3" spans="1:22" ht="76.5" x14ac:dyDescent="0.2">
      <c r="A3" s="2" t="s">
        <v>1</v>
      </c>
      <c r="B3" s="3" t="s">
        <v>2</v>
      </c>
      <c r="C3" s="4" t="s">
        <v>3</v>
      </c>
      <c r="D3" s="4" t="s">
        <v>4</v>
      </c>
      <c r="E3" s="4"/>
      <c r="F3" s="3" t="s">
        <v>2</v>
      </c>
      <c r="G3" s="4" t="s">
        <v>3</v>
      </c>
      <c r="H3" s="4" t="s">
        <v>4</v>
      </c>
      <c r="I3" s="4"/>
      <c r="J3" s="3" t="s">
        <v>2</v>
      </c>
      <c r="K3" s="4" t="s">
        <v>3</v>
      </c>
      <c r="L3" s="4" t="s">
        <v>4</v>
      </c>
      <c r="M3" s="4"/>
      <c r="N3" s="3" t="s">
        <v>2</v>
      </c>
      <c r="O3" s="4" t="s">
        <v>3</v>
      </c>
      <c r="P3" s="4" t="s">
        <v>4</v>
      </c>
      <c r="Q3" s="4" t="s">
        <v>1</v>
      </c>
      <c r="S3" s="4" t="s">
        <v>1</v>
      </c>
    </row>
    <row r="4" spans="1:22" x14ac:dyDescent="0.2">
      <c r="A4" s="2"/>
      <c r="B4" s="3"/>
      <c r="C4" s="4"/>
      <c r="D4" s="4"/>
      <c r="E4" s="4"/>
      <c r="F4" s="3"/>
      <c r="G4" s="4"/>
      <c r="H4" s="4"/>
      <c r="I4" s="4"/>
      <c r="J4" s="3"/>
      <c r="K4" s="4"/>
      <c r="L4" s="4"/>
      <c r="M4" s="4"/>
      <c r="N4" s="3"/>
      <c r="O4" s="4"/>
      <c r="P4" s="4"/>
      <c r="Q4" s="4"/>
      <c r="S4" s="4"/>
    </row>
    <row r="5" spans="1:22" ht="15.75" x14ac:dyDescent="0.25">
      <c r="A5" s="2"/>
      <c r="B5" s="5" t="s">
        <v>5</v>
      </c>
      <c r="C5" s="5"/>
      <c r="D5" s="5"/>
      <c r="E5" s="6"/>
      <c r="F5" s="5" t="s">
        <v>6</v>
      </c>
      <c r="G5" s="5"/>
      <c r="H5" s="5"/>
      <c r="I5" s="6"/>
      <c r="J5" s="5" t="s">
        <v>7</v>
      </c>
      <c r="K5" s="5"/>
      <c r="L5" s="5"/>
      <c r="M5" s="6"/>
      <c r="N5" s="5" t="s">
        <v>8</v>
      </c>
      <c r="O5" s="5"/>
      <c r="P5" s="5"/>
      <c r="Q5" s="7" t="s">
        <v>1</v>
      </c>
      <c r="S5" s="7" t="s">
        <v>1</v>
      </c>
      <c r="T5" s="8"/>
      <c r="U5" s="8"/>
    </row>
    <row r="6" spans="1:22" ht="13.5" thickBot="1" x14ac:dyDescent="0.25">
      <c r="B6" s="9"/>
      <c r="C6" s="9"/>
      <c r="D6" s="9"/>
      <c r="E6" s="10"/>
      <c r="F6" s="9" t="s">
        <v>9</v>
      </c>
      <c r="G6" s="9"/>
      <c r="H6" s="9"/>
      <c r="I6" s="10"/>
      <c r="J6" s="9"/>
      <c r="K6" s="9"/>
      <c r="L6" s="9"/>
      <c r="M6" s="10"/>
      <c r="N6" s="9" t="s">
        <v>10</v>
      </c>
      <c r="O6" s="9"/>
      <c r="P6" s="9"/>
      <c r="T6" s="11"/>
      <c r="U6" s="12"/>
    </row>
    <row r="7" spans="1:22" x14ac:dyDescent="0.2">
      <c r="A7" t="s">
        <v>11</v>
      </c>
      <c r="B7" s="13">
        <v>5416.67</v>
      </c>
      <c r="C7" s="14">
        <f>5416.67+590.88</f>
        <v>6007.55</v>
      </c>
      <c r="D7" s="15">
        <v>3902.5</v>
      </c>
      <c r="E7" s="16"/>
      <c r="F7" s="17">
        <v>6670.83</v>
      </c>
      <c r="G7" s="14">
        <f>6670.83+1264.12</f>
        <v>7934.95</v>
      </c>
      <c r="H7" s="15">
        <v>5722.5</v>
      </c>
      <c r="I7" s="16"/>
      <c r="J7" s="17">
        <v>5498.92</v>
      </c>
      <c r="K7" s="18">
        <v>5498.92</v>
      </c>
      <c r="L7" s="15">
        <v>2961</v>
      </c>
      <c r="M7" s="16"/>
      <c r="N7" s="17">
        <v>5333.33</v>
      </c>
      <c r="O7" s="14">
        <f>5333.33+1516.67</f>
        <v>6850</v>
      </c>
      <c r="P7" s="15">
        <v>4161.5</v>
      </c>
      <c r="Q7" s="19"/>
      <c r="S7" s="20"/>
      <c r="T7" s="21"/>
      <c r="U7" s="19"/>
      <c r="V7" s="22"/>
    </row>
    <row r="8" spans="1:22" x14ac:dyDescent="0.2">
      <c r="A8" t="s">
        <v>12</v>
      </c>
      <c r="B8" s="23">
        <v>5416.67</v>
      </c>
      <c r="C8" s="24">
        <f>5416.67+2140.31</f>
        <v>7556.98</v>
      </c>
      <c r="D8" s="25">
        <v>4847.5</v>
      </c>
      <c r="E8" s="16"/>
      <c r="F8" s="26">
        <v>6670.83</v>
      </c>
      <c r="G8" s="24">
        <f>6670.83+946.71</f>
        <v>7617.54</v>
      </c>
      <c r="H8" s="25">
        <v>5957</v>
      </c>
      <c r="I8" s="16"/>
      <c r="J8" s="26">
        <v>5498.92</v>
      </c>
      <c r="K8" s="27">
        <v>5498.92</v>
      </c>
      <c r="L8" s="25">
        <v>4056.5</v>
      </c>
      <c r="M8" s="16"/>
      <c r="N8" s="26">
        <v>5333.33</v>
      </c>
      <c r="O8" s="24">
        <f>5333.33+2615.08</f>
        <v>7948.41</v>
      </c>
      <c r="P8" s="25">
        <v>4896.5</v>
      </c>
      <c r="Q8" s="19"/>
      <c r="S8" s="20"/>
      <c r="T8" s="21"/>
      <c r="U8" s="19"/>
      <c r="V8" s="22"/>
    </row>
    <row r="9" spans="1:22" x14ac:dyDescent="0.2">
      <c r="A9" t="s">
        <v>13</v>
      </c>
      <c r="B9" s="23">
        <v>5416.67</v>
      </c>
      <c r="C9" s="24">
        <f>5416.67+2296.68</f>
        <v>7713.35</v>
      </c>
      <c r="D9" s="25">
        <v>5215</v>
      </c>
      <c r="E9" s="16"/>
      <c r="F9" s="26">
        <v>6670.83</v>
      </c>
      <c r="G9" s="24">
        <f>6670.83+2174.88</f>
        <v>8845.7099999999991</v>
      </c>
      <c r="H9" s="25">
        <v>7392</v>
      </c>
      <c r="I9" s="16"/>
      <c r="J9" s="26">
        <v>5498.92</v>
      </c>
      <c r="K9" s="27">
        <v>5498.92</v>
      </c>
      <c r="L9" s="25">
        <v>4214</v>
      </c>
      <c r="M9" s="16"/>
      <c r="N9" s="26">
        <v>5333.33</v>
      </c>
      <c r="O9" s="24">
        <f>5333.33+3291.27</f>
        <v>8624.6</v>
      </c>
      <c r="P9" s="25">
        <v>5411</v>
      </c>
      <c r="Q9" s="19"/>
      <c r="S9" s="20"/>
      <c r="T9" s="21"/>
      <c r="U9" s="19"/>
      <c r="V9" s="22"/>
    </row>
    <row r="10" spans="1:22" x14ac:dyDescent="0.2">
      <c r="A10" t="s">
        <v>14</v>
      </c>
      <c r="B10" s="23">
        <v>5416.67</v>
      </c>
      <c r="C10" s="24">
        <f>5416.67+1929.5</f>
        <v>7346.17</v>
      </c>
      <c r="D10" s="25">
        <v>5250</v>
      </c>
      <c r="E10" s="16"/>
      <c r="F10" s="26">
        <v>6670.83</v>
      </c>
      <c r="G10" s="24">
        <f>6670.83+3113.91</f>
        <v>9784.74</v>
      </c>
      <c r="H10" s="25">
        <v>7581</v>
      </c>
      <c r="I10" s="16"/>
      <c r="J10" s="26">
        <v>5498.92</v>
      </c>
      <c r="K10" s="27">
        <f>5498.92+133.96</f>
        <v>5632.88</v>
      </c>
      <c r="L10" s="25">
        <v>4189.5</v>
      </c>
      <c r="M10" s="16"/>
      <c r="N10" s="26">
        <v>5333.33</v>
      </c>
      <c r="O10" s="24">
        <f>5333.33+2399.18</f>
        <v>7732.51</v>
      </c>
      <c r="P10" s="25">
        <v>4613</v>
      </c>
      <c r="Q10" s="19"/>
      <c r="S10" s="20"/>
      <c r="T10" s="21"/>
      <c r="U10" s="19"/>
      <c r="V10" s="22"/>
    </row>
    <row r="11" spans="1:22" x14ac:dyDescent="0.2">
      <c r="A11" t="s">
        <v>15</v>
      </c>
      <c r="B11" s="23">
        <v>5416.67</v>
      </c>
      <c r="C11" s="24">
        <f>5416.67+2687.54</f>
        <v>8104.21</v>
      </c>
      <c r="D11" s="25">
        <v>5894</v>
      </c>
      <c r="E11" s="16"/>
      <c r="F11" s="26">
        <v>6670.83</v>
      </c>
      <c r="G11" s="24">
        <f>6670.83+3960.67</f>
        <v>10631.5</v>
      </c>
      <c r="H11" s="25">
        <v>8690.5</v>
      </c>
      <c r="I11" s="16"/>
      <c r="J11" s="26">
        <v>5498.92</v>
      </c>
      <c r="K11" s="27">
        <f>5498.92+1778.73</f>
        <v>7277.65</v>
      </c>
      <c r="L11" s="25">
        <v>4774</v>
      </c>
      <c r="M11" s="16"/>
      <c r="N11" s="26">
        <v>5333.33</v>
      </c>
      <c r="O11" s="24">
        <f>5333.33+2089.03</f>
        <v>7422.3600000000006</v>
      </c>
      <c r="P11" s="25">
        <v>4522</v>
      </c>
      <c r="Q11" s="19"/>
      <c r="S11" s="20"/>
      <c r="T11" s="21"/>
      <c r="U11" s="19"/>
      <c r="V11" s="22"/>
    </row>
    <row r="12" spans="1:22" ht="13.5" thickBot="1" x14ac:dyDescent="0.25">
      <c r="A12" t="s">
        <v>16</v>
      </c>
      <c r="B12" s="28">
        <v>5416.67</v>
      </c>
      <c r="C12" s="29">
        <f>5416.67+3690.48</f>
        <v>9107.15</v>
      </c>
      <c r="D12" s="30">
        <v>6629</v>
      </c>
      <c r="E12" s="16"/>
      <c r="F12" s="31">
        <v>6670.83</v>
      </c>
      <c r="G12" s="29">
        <f>6670.83+5516.35</f>
        <v>12187.18</v>
      </c>
      <c r="H12" s="30">
        <v>10104.5</v>
      </c>
      <c r="I12" s="16"/>
      <c r="J12" s="31">
        <v>5498.92</v>
      </c>
      <c r="K12" s="32">
        <f>5498.92+1525.23</f>
        <v>7024.15</v>
      </c>
      <c r="L12" s="30">
        <v>5029.5</v>
      </c>
      <c r="M12" s="16"/>
      <c r="N12" s="31">
        <v>5333.33</v>
      </c>
      <c r="O12" s="29">
        <f>5333.33+3048.57</f>
        <v>8381.9</v>
      </c>
      <c r="P12" s="30">
        <v>5082</v>
      </c>
      <c r="Q12" s="19"/>
      <c r="S12" s="20"/>
      <c r="T12" s="21"/>
      <c r="U12" s="19"/>
      <c r="V12" s="22"/>
    </row>
    <row r="13" spans="1:22" x14ac:dyDescent="0.2">
      <c r="A13" t="s">
        <v>17</v>
      </c>
      <c r="B13" s="23">
        <v>5416.67</v>
      </c>
      <c r="C13" s="24">
        <f>5416.67+5427.01</f>
        <v>10843.68</v>
      </c>
      <c r="D13" s="25">
        <v>8498</v>
      </c>
      <c r="E13" s="16"/>
      <c r="F13" s="26">
        <v>6670.83</v>
      </c>
      <c r="G13" s="24">
        <f>6670.83+6149.24</f>
        <v>12820.07</v>
      </c>
      <c r="H13" s="25">
        <v>10682</v>
      </c>
      <c r="I13" s="16"/>
      <c r="J13" s="26">
        <v>5498.92</v>
      </c>
      <c r="K13" s="24">
        <f>5498.92+3599.48</f>
        <v>9098.4</v>
      </c>
      <c r="L13" s="25">
        <v>6580</v>
      </c>
      <c r="M13" s="16"/>
      <c r="N13" s="26">
        <v>5333.33</v>
      </c>
      <c r="O13" s="24">
        <f>5333.33+3324.2</f>
        <v>8657.5299999999988</v>
      </c>
      <c r="P13" s="25">
        <v>5537</v>
      </c>
      <c r="Q13" s="33"/>
      <c r="S13" s="20"/>
      <c r="T13" s="34"/>
      <c r="U13" s="19"/>
      <c r="V13" s="22"/>
    </row>
    <row r="14" spans="1:22" x14ac:dyDescent="0.2">
      <c r="A14" t="s">
        <v>18</v>
      </c>
      <c r="B14" s="23">
        <v>5416.67</v>
      </c>
      <c r="C14" s="24">
        <f>5416.67+5635</f>
        <v>11051.67</v>
      </c>
      <c r="D14" s="25">
        <v>7518</v>
      </c>
      <c r="E14" s="16"/>
      <c r="F14" s="26">
        <v>6670.83</v>
      </c>
      <c r="G14" s="24">
        <f>6670.83+6333.5</f>
        <v>13004.33</v>
      </c>
      <c r="H14" s="25">
        <v>9772</v>
      </c>
      <c r="I14" s="16"/>
      <c r="J14" s="26">
        <v>5498.92</v>
      </c>
      <c r="K14" s="27">
        <f>5498.92+3959.26</f>
        <v>9458.18</v>
      </c>
      <c r="L14" s="25">
        <v>6765.5</v>
      </c>
      <c r="M14" s="16"/>
      <c r="N14" s="26">
        <v>5333.33</v>
      </c>
      <c r="O14" s="24">
        <f>5333.33+4392.23</f>
        <v>9725.56</v>
      </c>
      <c r="P14" s="25">
        <v>6401.5</v>
      </c>
      <c r="Q14" s="19"/>
      <c r="R14" s="35"/>
      <c r="S14" s="36"/>
      <c r="T14" s="16"/>
      <c r="U14" s="8"/>
      <c r="V14" s="22"/>
    </row>
    <row r="15" spans="1:22" x14ac:dyDescent="0.2">
      <c r="A15" t="s">
        <v>19</v>
      </c>
      <c r="B15" s="23">
        <v>5416.67</v>
      </c>
      <c r="C15" s="24">
        <f>5416.67+4549.18</f>
        <v>9965.85</v>
      </c>
      <c r="D15" s="25">
        <v>7091</v>
      </c>
      <c r="E15" s="16"/>
      <c r="F15" s="26">
        <v>6670.83</v>
      </c>
      <c r="G15" s="24">
        <f>6670.83+3434.43</f>
        <v>10105.26</v>
      </c>
      <c r="H15" s="25">
        <v>7675.5</v>
      </c>
      <c r="I15" s="16"/>
      <c r="J15" s="26">
        <v>5498.92</v>
      </c>
      <c r="K15" s="24">
        <f>5498.92+1904.35</f>
        <v>7403.27</v>
      </c>
      <c r="L15" s="25">
        <v>5516</v>
      </c>
      <c r="M15" s="16"/>
      <c r="N15" s="26">
        <v>5333.33</v>
      </c>
      <c r="O15" s="24">
        <f>5333.33+2474.71</f>
        <v>7808.04</v>
      </c>
      <c r="P15" s="25">
        <v>5187</v>
      </c>
      <c r="Q15" s="33"/>
      <c r="R15" s="35"/>
      <c r="S15" s="33"/>
      <c r="T15" s="19"/>
      <c r="U15" s="8"/>
      <c r="V15" s="22"/>
    </row>
    <row r="16" spans="1:22" x14ac:dyDescent="0.2">
      <c r="A16" t="s">
        <v>20</v>
      </c>
      <c r="B16" s="23">
        <v>5416.67</v>
      </c>
      <c r="C16" s="24">
        <f>5416.67+3159.87</f>
        <v>8576.5400000000009</v>
      </c>
      <c r="D16" s="25">
        <v>6597.5</v>
      </c>
      <c r="E16" s="16"/>
      <c r="F16" s="26">
        <v>6670.83</v>
      </c>
      <c r="G16" s="24">
        <f>6670.83+3812.75</f>
        <v>10483.58</v>
      </c>
      <c r="H16" s="25">
        <v>7854</v>
      </c>
      <c r="I16" s="16"/>
      <c r="J16" s="26">
        <v>5498.92</v>
      </c>
      <c r="K16" s="24">
        <f>5498.92+1573.35</f>
        <v>7072.27</v>
      </c>
      <c r="L16" s="25">
        <v>4753</v>
      </c>
      <c r="M16" s="16"/>
      <c r="N16" s="26">
        <v>5333.33</v>
      </c>
      <c r="O16" s="24">
        <f>5333.33+2726.48</f>
        <v>8059.8099999999995</v>
      </c>
      <c r="P16" s="25">
        <v>5253.5</v>
      </c>
      <c r="Q16" s="33"/>
      <c r="R16" s="35"/>
      <c r="S16" s="33"/>
      <c r="T16" s="8"/>
      <c r="U16" s="8"/>
      <c r="V16" s="22"/>
    </row>
    <row r="17" spans="1:22" x14ac:dyDescent="0.2">
      <c r="A17" t="s">
        <v>21</v>
      </c>
      <c r="B17" s="23">
        <v>5416.67</v>
      </c>
      <c r="C17" s="24">
        <f>5416.67+1762.4</f>
        <v>7179.07</v>
      </c>
      <c r="D17" s="25">
        <v>5075</v>
      </c>
      <c r="E17" s="16"/>
      <c r="F17" s="26">
        <v>6670.83</v>
      </c>
      <c r="G17" s="24">
        <f>6670.83+2123.98</f>
        <v>8794.81</v>
      </c>
      <c r="H17" s="25">
        <v>6293</v>
      </c>
      <c r="I17" s="16"/>
      <c r="J17" s="26">
        <v>5498.92</v>
      </c>
      <c r="K17" s="24">
        <f>5498.92+607.76</f>
        <v>6106.68</v>
      </c>
      <c r="L17" s="25">
        <v>4543</v>
      </c>
      <c r="M17" s="16"/>
      <c r="N17" s="26">
        <v>5333.33</v>
      </c>
      <c r="O17" s="24">
        <f>5333.33+1629.71</f>
        <v>6963.04</v>
      </c>
      <c r="P17" s="25">
        <v>4606</v>
      </c>
      <c r="Q17" s="33" t="s">
        <v>1</v>
      </c>
      <c r="R17" s="35"/>
      <c r="S17" s="33" t="s">
        <v>1</v>
      </c>
      <c r="T17" s="37"/>
      <c r="U17" s="8"/>
      <c r="V17" s="22"/>
    </row>
    <row r="18" spans="1:22" ht="13.5" thickBot="1" x14ac:dyDescent="0.25">
      <c r="A18" t="s">
        <v>22</v>
      </c>
      <c r="B18" s="31">
        <v>5416.67</v>
      </c>
      <c r="C18" s="29">
        <f>5416.67+2598.83</f>
        <v>8015.5</v>
      </c>
      <c r="D18" s="30">
        <v>5106.5</v>
      </c>
      <c r="E18" s="38"/>
      <c r="F18" s="31">
        <v>6670.83</v>
      </c>
      <c r="G18" s="29">
        <f>6670.83+2132.19</f>
        <v>8803.02</v>
      </c>
      <c r="H18" s="30">
        <v>6317.5</v>
      </c>
      <c r="I18" s="38"/>
      <c r="J18" s="31">
        <v>5498.92</v>
      </c>
      <c r="K18" s="29">
        <f>5498.92+1179.38</f>
        <v>6678.3</v>
      </c>
      <c r="L18" s="30">
        <v>4455.5</v>
      </c>
      <c r="M18" s="38"/>
      <c r="N18" s="31">
        <v>5333.33</v>
      </c>
      <c r="O18" s="29">
        <f>5333.33+988.71</f>
        <v>6322.04</v>
      </c>
      <c r="P18" s="30">
        <v>4063.5</v>
      </c>
      <c r="Q18" s="35"/>
      <c r="R18" s="35"/>
      <c r="S18" s="33" t="s">
        <v>1</v>
      </c>
      <c r="T18" s="37"/>
      <c r="U18" s="8"/>
    </row>
    <row r="19" spans="1:22" x14ac:dyDescent="0.2">
      <c r="B19" s="39"/>
      <c r="C19" s="39"/>
      <c r="D19" s="39"/>
      <c r="E19" s="20"/>
      <c r="F19" s="39"/>
      <c r="G19" s="39"/>
      <c r="H19" s="39"/>
      <c r="I19" s="20"/>
      <c r="J19" s="39"/>
      <c r="K19" s="39"/>
      <c r="L19" s="39"/>
      <c r="M19" s="20"/>
      <c r="N19" s="39"/>
      <c r="O19" s="40"/>
      <c r="P19" s="40"/>
      <c r="Q19" s="41"/>
      <c r="R19" s="20"/>
      <c r="S19" s="41"/>
      <c r="T19" s="37"/>
      <c r="U19" s="8"/>
    </row>
    <row r="20" spans="1:22" x14ac:dyDescent="0.2">
      <c r="B20" s="42">
        <f>SUM(B7:B19)</f>
        <v>65000.039999999986</v>
      </c>
      <c r="C20" s="42">
        <f>SUM(C7:C19)</f>
        <v>101467.72</v>
      </c>
      <c r="D20" s="42">
        <f>SUM(D7:D19)</f>
        <v>71624</v>
      </c>
      <c r="E20" s="43"/>
      <c r="F20" s="42">
        <f>SUM(F7:F19)</f>
        <v>80049.960000000006</v>
      </c>
      <c r="G20" s="42">
        <f>SUM(G7:G19)</f>
        <v>121012.69</v>
      </c>
      <c r="H20" s="42">
        <f>SUM(H7:H19)</f>
        <v>94041.5</v>
      </c>
      <c r="I20" s="43"/>
      <c r="J20" s="42">
        <f>SUM(J7:J19)</f>
        <v>65987.039999999994</v>
      </c>
      <c r="K20" s="42">
        <f>SUM(K7:K19)</f>
        <v>82248.540000000023</v>
      </c>
      <c r="L20" s="42">
        <f>SUM(L7:L19)</f>
        <v>57837.5</v>
      </c>
      <c r="M20" s="43"/>
      <c r="N20" s="42">
        <f>SUM(N7:N19)</f>
        <v>63999.960000000014</v>
      </c>
      <c r="O20" s="42">
        <f>SUM(O7:O19)</f>
        <v>94495.799999999988</v>
      </c>
      <c r="P20" s="42">
        <f>SUM(P7:P19)</f>
        <v>59734.5</v>
      </c>
      <c r="Q20" s="41" t="s">
        <v>1</v>
      </c>
      <c r="S20" s="41" t="s">
        <v>1</v>
      </c>
      <c r="T20" s="16"/>
      <c r="U20" s="8"/>
    </row>
    <row r="21" spans="1:22" x14ac:dyDescent="0.2">
      <c r="B21" s="44"/>
      <c r="C21" s="45"/>
      <c r="D21" s="46"/>
      <c r="E21" s="44"/>
      <c r="F21" s="44"/>
      <c r="G21" s="47"/>
      <c r="H21" s="46"/>
      <c r="I21" s="46"/>
      <c r="J21" s="46"/>
      <c r="K21" s="45"/>
      <c r="L21" s="46"/>
      <c r="M21" s="44"/>
      <c r="N21" s="44"/>
      <c r="O21" s="45"/>
      <c r="P21" s="46"/>
      <c r="Q21" s="44"/>
      <c r="S21" s="44"/>
      <c r="T21" s="37"/>
      <c r="U21" s="8"/>
    </row>
    <row r="22" spans="1:22" ht="13.5" thickBot="1" x14ac:dyDescent="0.25">
      <c r="C22" s="46"/>
      <c r="D22" s="22"/>
      <c r="T22" s="8"/>
      <c r="U22" s="8"/>
    </row>
    <row r="23" spans="1:22" ht="12.75" customHeight="1" x14ac:dyDescent="0.2">
      <c r="A23" s="1" t="s">
        <v>23</v>
      </c>
      <c r="N23" s="48" t="s">
        <v>24</v>
      </c>
      <c r="O23" s="49"/>
      <c r="P23" s="49"/>
      <c r="Q23" s="50"/>
      <c r="T23" s="8"/>
      <c r="U23" s="8"/>
    </row>
    <row r="24" spans="1:22" ht="13.5" customHeight="1" thickBot="1" x14ac:dyDescent="0.25">
      <c r="A24" s="1"/>
      <c r="N24" s="51"/>
      <c r="O24" s="52"/>
      <c r="P24" s="52"/>
      <c r="Q24" s="53"/>
    </row>
    <row r="25" spans="1:22" ht="89.25" customHeight="1" x14ac:dyDescent="0.2">
      <c r="A25" s="2" t="s">
        <v>1</v>
      </c>
      <c r="B25" s="3" t="s">
        <v>1</v>
      </c>
      <c r="C25" s="4" t="s">
        <v>3</v>
      </c>
      <c r="D25" s="4" t="s">
        <v>4</v>
      </c>
      <c r="E25" s="4"/>
      <c r="F25" s="3"/>
      <c r="G25" s="4"/>
      <c r="H25" s="4"/>
      <c r="I25" s="4"/>
      <c r="J25" s="3"/>
      <c r="K25" s="4"/>
      <c r="L25" s="4"/>
      <c r="M25" s="4"/>
      <c r="N25" s="54"/>
      <c r="O25" s="55" t="s">
        <v>25</v>
      </c>
      <c r="P25" s="56" t="s">
        <v>3</v>
      </c>
      <c r="Q25" s="57" t="s">
        <v>4</v>
      </c>
    </row>
    <row r="26" spans="1:22" x14ac:dyDescent="0.2">
      <c r="A26" s="2"/>
      <c r="B26" s="3"/>
      <c r="C26" s="4"/>
      <c r="D26" s="4"/>
      <c r="E26" s="4"/>
      <c r="F26" s="3"/>
      <c r="G26" s="4"/>
      <c r="H26" s="4"/>
      <c r="I26" s="4"/>
      <c r="J26" s="3"/>
      <c r="K26" s="4"/>
      <c r="L26" s="4"/>
      <c r="M26" s="4"/>
      <c r="N26" s="58"/>
      <c r="O26" s="59"/>
      <c r="P26" s="59"/>
      <c r="Q26" s="60"/>
    </row>
    <row r="27" spans="1:22" ht="15.75" x14ac:dyDescent="0.25">
      <c r="A27" s="2"/>
      <c r="B27" s="5" t="s">
        <v>26</v>
      </c>
      <c r="C27" s="5"/>
      <c r="D27" s="5"/>
      <c r="E27" s="6"/>
      <c r="F27" s="5"/>
      <c r="G27" s="5"/>
      <c r="H27" s="5"/>
      <c r="I27" s="6"/>
      <c r="J27" s="5"/>
      <c r="K27" s="5"/>
      <c r="L27" s="5"/>
      <c r="M27" s="6"/>
      <c r="N27" s="58"/>
      <c r="O27" s="10"/>
      <c r="P27" s="10"/>
      <c r="Q27" s="60"/>
    </row>
    <row r="28" spans="1:22" ht="13.5" thickBot="1" x14ac:dyDescent="0.25">
      <c r="B28" s="9"/>
      <c r="C28" s="9"/>
      <c r="D28" s="9"/>
      <c r="E28" s="10"/>
      <c r="F28" s="61"/>
      <c r="G28" s="61"/>
      <c r="H28" s="61"/>
      <c r="I28" s="10"/>
      <c r="J28" s="61"/>
      <c r="K28" s="61"/>
      <c r="L28" s="61"/>
      <c r="M28" s="59"/>
      <c r="N28" s="58" t="s">
        <v>1</v>
      </c>
      <c r="O28" s="10"/>
      <c r="P28" s="10"/>
      <c r="Q28" s="60"/>
    </row>
    <row r="29" spans="1:22" x14ac:dyDescent="0.2">
      <c r="A29" t="s">
        <v>11</v>
      </c>
      <c r="B29" s="13" t="s">
        <v>1</v>
      </c>
      <c r="C29" s="18">
        <v>2321.48</v>
      </c>
      <c r="D29" s="62"/>
      <c r="E29" s="16"/>
      <c r="F29" s="33"/>
      <c r="G29" s="63"/>
      <c r="H29" s="33"/>
      <c r="I29" s="16"/>
      <c r="J29" s="24"/>
      <c r="K29" s="24"/>
      <c r="L29" s="24"/>
      <c r="M29" s="64"/>
      <c r="N29" s="58" t="s">
        <v>11</v>
      </c>
      <c r="O29" s="65">
        <f t="shared" ref="O29:O40" si="0">B7+F7+J7+N7</f>
        <v>22919.75</v>
      </c>
      <c r="P29" s="66">
        <f t="shared" ref="P29:Q40" si="1">C7+G7+K7+O7+C29+G29+K29</f>
        <v>28612.899999999998</v>
      </c>
      <c r="Q29" s="67">
        <f t="shared" si="1"/>
        <v>16747.5</v>
      </c>
    </row>
    <row r="30" spans="1:22" x14ac:dyDescent="0.2">
      <c r="A30" t="s">
        <v>12</v>
      </c>
      <c r="B30" s="23" t="s">
        <v>1</v>
      </c>
      <c r="C30" s="27">
        <v>1851.06</v>
      </c>
      <c r="D30" s="25"/>
      <c r="E30" s="16"/>
      <c r="F30" s="19"/>
      <c r="G30" s="68"/>
      <c r="H30" s="33"/>
      <c r="I30" s="16"/>
      <c r="J30" s="24"/>
      <c r="K30" s="24"/>
      <c r="L30" s="24"/>
      <c r="M30" s="64"/>
      <c r="N30" s="58" t="s">
        <v>12</v>
      </c>
      <c r="O30" s="69">
        <f t="shared" si="0"/>
        <v>22919.75</v>
      </c>
      <c r="P30" s="70">
        <f t="shared" si="1"/>
        <v>30472.910000000003</v>
      </c>
      <c r="Q30" s="71">
        <f t="shared" si="1"/>
        <v>19757.5</v>
      </c>
    </row>
    <row r="31" spans="1:22" x14ac:dyDescent="0.2">
      <c r="A31" t="s">
        <v>13</v>
      </c>
      <c r="B31" s="23" t="s">
        <v>1</v>
      </c>
      <c r="C31" s="27">
        <v>2202.6</v>
      </c>
      <c r="D31" s="72"/>
      <c r="E31" s="16"/>
      <c r="F31" s="33"/>
      <c r="G31" s="63"/>
      <c r="H31" s="33"/>
      <c r="I31" s="16"/>
      <c r="J31" s="24"/>
      <c r="K31" s="24"/>
      <c r="L31" s="24"/>
      <c r="M31" s="64"/>
      <c r="N31" s="58" t="s">
        <v>13</v>
      </c>
      <c r="O31" s="69">
        <f t="shared" si="0"/>
        <v>22919.75</v>
      </c>
      <c r="P31" s="70">
        <f t="shared" si="1"/>
        <v>32885.179999999993</v>
      </c>
      <c r="Q31" s="71">
        <f t="shared" si="1"/>
        <v>22232</v>
      </c>
      <c r="S31" s="44"/>
    </row>
    <row r="32" spans="1:22" x14ac:dyDescent="0.2">
      <c r="A32" t="s">
        <v>14</v>
      </c>
      <c r="B32" s="23" t="s">
        <v>1</v>
      </c>
      <c r="C32" s="27">
        <v>2377.29</v>
      </c>
      <c r="D32" s="72"/>
      <c r="E32" s="16"/>
      <c r="F32" s="33"/>
      <c r="G32" s="63"/>
      <c r="H32" s="33"/>
      <c r="I32" s="16"/>
      <c r="J32" s="24"/>
      <c r="K32" s="24"/>
      <c r="L32" s="24"/>
      <c r="M32" s="64"/>
      <c r="N32" s="58" t="s">
        <v>14</v>
      </c>
      <c r="O32" s="69">
        <f t="shared" si="0"/>
        <v>22919.75</v>
      </c>
      <c r="P32" s="70">
        <f t="shared" si="1"/>
        <v>32873.590000000004</v>
      </c>
      <c r="Q32" s="71">
        <f t="shared" si="1"/>
        <v>21633.5</v>
      </c>
      <c r="S32" s="73"/>
    </row>
    <row r="33" spans="1:19" x14ac:dyDescent="0.2">
      <c r="A33" t="s">
        <v>15</v>
      </c>
      <c r="B33" s="23" t="s">
        <v>1</v>
      </c>
      <c r="C33" s="27">
        <v>2445.29</v>
      </c>
      <c r="D33" s="72"/>
      <c r="E33" s="16"/>
      <c r="F33" s="33"/>
      <c r="G33" s="63"/>
      <c r="H33" s="33"/>
      <c r="I33" s="16"/>
      <c r="J33" s="24"/>
      <c r="K33" s="24"/>
      <c r="L33" s="24"/>
      <c r="M33" s="64"/>
      <c r="N33" s="58" t="s">
        <v>15</v>
      </c>
      <c r="O33" s="69">
        <f t="shared" si="0"/>
        <v>22919.75</v>
      </c>
      <c r="P33" s="70">
        <f t="shared" si="1"/>
        <v>35881.01</v>
      </c>
      <c r="Q33" s="71">
        <f t="shared" si="1"/>
        <v>23880.5</v>
      </c>
      <c r="S33" s="73"/>
    </row>
    <row r="34" spans="1:19" x14ac:dyDescent="0.2">
      <c r="A34" t="s">
        <v>16</v>
      </c>
      <c r="B34" s="23" t="s">
        <v>1</v>
      </c>
      <c r="C34" s="27">
        <v>3209.25</v>
      </c>
      <c r="D34" s="72"/>
      <c r="E34" s="16"/>
      <c r="F34" s="33"/>
      <c r="G34" s="63"/>
      <c r="H34" s="33"/>
      <c r="I34" s="16"/>
      <c r="J34" s="24"/>
      <c r="K34" s="24"/>
      <c r="L34" s="24"/>
      <c r="M34" s="64"/>
      <c r="N34" s="58" t="s">
        <v>16</v>
      </c>
      <c r="O34" s="69">
        <f t="shared" si="0"/>
        <v>22919.75</v>
      </c>
      <c r="P34" s="70">
        <f t="shared" si="1"/>
        <v>39909.630000000005</v>
      </c>
      <c r="Q34" s="71">
        <f t="shared" si="1"/>
        <v>26845</v>
      </c>
      <c r="S34" s="20"/>
    </row>
    <row r="35" spans="1:19" x14ac:dyDescent="0.2">
      <c r="A35" t="s">
        <v>17</v>
      </c>
      <c r="B35" s="23" t="s">
        <v>1</v>
      </c>
      <c r="C35" s="74">
        <v>4926.18</v>
      </c>
      <c r="D35" s="72"/>
      <c r="E35" s="16"/>
      <c r="F35" s="33"/>
      <c r="G35" s="68"/>
      <c r="H35" s="33"/>
      <c r="I35" s="16"/>
      <c r="J35" s="75"/>
      <c r="K35" s="76"/>
      <c r="L35" s="76"/>
      <c r="M35" s="64"/>
      <c r="N35" s="58" t="s">
        <v>17</v>
      </c>
      <c r="O35" s="69">
        <f t="shared" si="0"/>
        <v>22919.75</v>
      </c>
      <c r="P35" s="70">
        <f t="shared" si="1"/>
        <v>46345.86</v>
      </c>
      <c r="Q35" s="71">
        <f t="shared" si="1"/>
        <v>31297</v>
      </c>
    </row>
    <row r="36" spans="1:19" x14ac:dyDescent="0.2">
      <c r="A36" t="s">
        <v>18</v>
      </c>
      <c r="B36" s="23" t="s">
        <v>1</v>
      </c>
      <c r="C36" s="27">
        <v>4956.8100000000004</v>
      </c>
      <c r="D36" s="72"/>
      <c r="E36" s="16"/>
      <c r="F36" s="33"/>
      <c r="G36" s="63"/>
      <c r="H36" s="33"/>
      <c r="I36" s="16"/>
      <c r="J36" s="76"/>
      <c r="K36" s="76"/>
      <c r="L36" s="76"/>
      <c r="M36" s="64"/>
      <c r="N36" s="58" t="s">
        <v>18</v>
      </c>
      <c r="O36" s="69">
        <f t="shared" si="0"/>
        <v>22919.75</v>
      </c>
      <c r="P36" s="70">
        <f t="shared" si="1"/>
        <v>48196.549999999996</v>
      </c>
      <c r="Q36" s="71">
        <f t="shared" si="1"/>
        <v>30457</v>
      </c>
    </row>
    <row r="37" spans="1:19" x14ac:dyDescent="0.2">
      <c r="A37" t="s">
        <v>19</v>
      </c>
      <c r="B37" s="23" t="s">
        <v>1</v>
      </c>
      <c r="C37" s="27">
        <v>3132.46</v>
      </c>
      <c r="D37" s="72"/>
      <c r="E37" s="16"/>
      <c r="F37" s="33"/>
      <c r="G37" s="63"/>
      <c r="H37" s="33"/>
      <c r="I37" s="16"/>
      <c r="J37" s="76"/>
      <c r="K37" s="76"/>
      <c r="L37" s="76"/>
      <c r="M37" s="64"/>
      <c r="N37" s="58" t="s">
        <v>19</v>
      </c>
      <c r="O37" s="69">
        <f t="shared" si="0"/>
        <v>22919.75</v>
      </c>
      <c r="P37" s="70">
        <f t="shared" si="1"/>
        <v>38414.879999999997</v>
      </c>
      <c r="Q37" s="71">
        <f t="shared" si="1"/>
        <v>25469.5</v>
      </c>
    </row>
    <row r="38" spans="1:19" x14ac:dyDescent="0.2">
      <c r="A38" t="s">
        <v>20</v>
      </c>
      <c r="B38" s="23" t="s">
        <v>1</v>
      </c>
      <c r="C38" s="27">
        <v>2070.87</v>
      </c>
      <c r="D38" s="72"/>
      <c r="E38" s="16"/>
      <c r="F38" s="33"/>
      <c r="G38" s="68"/>
      <c r="H38" s="33"/>
      <c r="I38" s="16"/>
      <c r="J38" s="76"/>
      <c r="K38" s="76"/>
      <c r="L38" s="76"/>
      <c r="M38" s="64"/>
      <c r="N38" s="58" t="s">
        <v>20</v>
      </c>
      <c r="O38" s="69">
        <f t="shared" si="0"/>
        <v>22919.75</v>
      </c>
      <c r="P38" s="70">
        <f t="shared" si="1"/>
        <v>36263.070000000007</v>
      </c>
      <c r="Q38" s="71">
        <f t="shared" si="1"/>
        <v>24458</v>
      </c>
      <c r="S38" s="44"/>
    </row>
    <row r="39" spans="1:19" x14ac:dyDescent="0.2">
      <c r="A39" t="s">
        <v>21</v>
      </c>
      <c r="B39" s="23" t="s">
        <v>1</v>
      </c>
      <c r="C39" s="27">
        <v>2012.69</v>
      </c>
      <c r="D39" s="72"/>
      <c r="E39" s="16"/>
      <c r="F39" s="33"/>
      <c r="G39" s="63"/>
      <c r="H39" s="33"/>
      <c r="I39" s="16"/>
      <c r="J39" s="76"/>
      <c r="K39" s="76"/>
      <c r="L39" s="76"/>
      <c r="M39" s="64"/>
      <c r="N39" s="58" t="s">
        <v>21</v>
      </c>
      <c r="O39" s="69">
        <f t="shared" si="0"/>
        <v>22919.75</v>
      </c>
      <c r="P39" s="70">
        <f t="shared" si="1"/>
        <v>31056.289999999997</v>
      </c>
      <c r="Q39" s="71">
        <f t="shared" si="1"/>
        <v>20517</v>
      </c>
    </row>
    <row r="40" spans="1:19" ht="13.5" thickBot="1" x14ac:dyDescent="0.25">
      <c r="A40" t="s">
        <v>22</v>
      </c>
      <c r="B40" s="28" t="s">
        <v>1</v>
      </c>
      <c r="C40" s="77">
        <v>2852.8</v>
      </c>
      <c r="D40" s="78"/>
      <c r="E40" s="79"/>
      <c r="F40" s="33"/>
      <c r="G40" s="68"/>
      <c r="H40" s="33"/>
      <c r="I40" s="16"/>
      <c r="J40" s="76"/>
      <c r="K40" s="76"/>
      <c r="L40" s="76"/>
      <c r="M40" s="64"/>
      <c r="N40" s="58" t="s">
        <v>22</v>
      </c>
      <c r="O40" s="80">
        <f t="shared" si="0"/>
        <v>22919.75</v>
      </c>
      <c r="P40" s="81">
        <f t="shared" si="1"/>
        <v>32671.66</v>
      </c>
      <c r="Q40" s="82">
        <f t="shared" si="1"/>
        <v>19943</v>
      </c>
    </row>
    <row r="41" spans="1:19" x14ac:dyDescent="0.2">
      <c r="B41" s="39"/>
      <c r="C41" s="39"/>
      <c r="D41" s="39"/>
      <c r="E41" s="44"/>
      <c r="F41" s="41"/>
      <c r="G41" s="41"/>
      <c r="H41" s="41"/>
      <c r="I41" s="44"/>
      <c r="J41" s="33"/>
      <c r="K41" s="33"/>
      <c r="L41" s="33"/>
      <c r="M41" s="44"/>
      <c r="N41" s="58"/>
      <c r="O41" s="83">
        <f>SUM(O29:O40)</f>
        <v>275037</v>
      </c>
      <c r="P41" s="84">
        <f>SUM(P29:P40)</f>
        <v>433583.52999999997</v>
      </c>
      <c r="Q41" s="85">
        <f>SUM(Q29:Q40)</f>
        <v>283237.5</v>
      </c>
    </row>
    <row r="42" spans="1:19" ht="13.5" thickBot="1" x14ac:dyDescent="0.25">
      <c r="B42" s="86">
        <f>SUM(B29:B41)</f>
        <v>0</v>
      </c>
      <c r="C42" s="86">
        <f>SUM(C29:C41)</f>
        <v>34358.78</v>
      </c>
      <c r="D42" s="41">
        <f>SUM(D29:D41)</f>
        <v>0</v>
      </c>
      <c r="E42" s="44"/>
      <c r="F42" s="41"/>
      <c r="G42" s="41"/>
      <c r="H42" s="41"/>
      <c r="I42" s="44"/>
      <c r="J42" s="41"/>
      <c r="K42" s="41"/>
      <c r="L42" s="41"/>
      <c r="M42" s="44"/>
      <c r="N42" s="87"/>
      <c r="O42" s="88"/>
      <c r="P42" s="89"/>
      <c r="Q42" s="90"/>
    </row>
    <row r="43" spans="1:19" x14ac:dyDescent="0.2">
      <c r="C43" s="45"/>
      <c r="G43" s="91"/>
    </row>
    <row r="44" spans="1:19" x14ac:dyDescent="0.2">
      <c r="A44" t="s">
        <v>27</v>
      </c>
      <c r="P44" s="92"/>
      <c r="Q44" s="92"/>
    </row>
    <row r="45" spans="1:19" x14ac:dyDescent="0.2">
      <c r="A45" t="s">
        <v>28</v>
      </c>
    </row>
    <row r="46" spans="1:19" x14ac:dyDescent="0.2">
      <c r="A46" t="s">
        <v>29</v>
      </c>
    </row>
    <row r="47" spans="1:19" x14ac:dyDescent="0.2">
      <c r="A47" t="s">
        <v>30</v>
      </c>
    </row>
    <row r="48" spans="1:19" x14ac:dyDescent="0.2">
      <c r="A48" t="s">
        <v>31</v>
      </c>
    </row>
    <row r="49" spans="1:1" x14ac:dyDescent="0.2">
      <c r="A49" t="s">
        <v>32</v>
      </c>
    </row>
    <row r="50" spans="1:1" x14ac:dyDescent="0.2">
      <c r="A50" t="s">
        <v>33</v>
      </c>
    </row>
  </sheetData>
  <mergeCells count="17">
    <mergeCell ref="A23:A24"/>
    <mergeCell ref="N23:Q24"/>
    <mergeCell ref="B27:D27"/>
    <mergeCell ref="F27:H27"/>
    <mergeCell ref="J27:L27"/>
    <mergeCell ref="B28:D28"/>
    <mergeCell ref="F28:H28"/>
    <mergeCell ref="J28:L28"/>
    <mergeCell ref="A1:A2"/>
    <mergeCell ref="B5:D5"/>
    <mergeCell ref="F5:H5"/>
    <mergeCell ref="J5:L5"/>
    <mergeCell ref="N5:P5"/>
    <mergeCell ref="B6:D6"/>
    <mergeCell ref="F6:H6"/>
    <mergeCell ref="J6:L6"/>
    <mergeCell ref="N6:P6"/>
  </mergeCells>
  <printOptions horizontalCentered="1"/>
  <pageMargins left="0.16" right="0.16" top="0.57999999999999996" bottom="0.28000000000000003" header="0.17" footer="0.16"/>
  <pageSetup scale="71" orientation="landscape" r:id="rId1"/>
  <headerFooter alignWithMargins="0">
    <oddHeader>&amp;C&amp;"Arial,Bold"&amp;12EMAA 
2013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2014-01-15T15:00:57Z</dcterms:created>
  <dcterms:modified xsi:type="dcterms:W3CDTF">2014-01-15T15:01:13Z</dcterms:modified>
</cp:coreProperties>
</file>